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wa\Downloads\"/>
    </mc:Choice>
  </mc:AlternateContent>
  <xr:revisionPtr revIDLastSave="0" documentId="13_ncr:1_{579AAC6B-A162-4753-B883-6AF71F8DF181}" xr6:coauthVersionLast="47" xr6:coauthVersionMax="47" xr10:uidLastSave="{00000000-0000-0000-0000-000000000000}"/>
  <bookViews>
    <workbookView xWindow="57480" yWindow="5460" windowWidth="38640" windowHeight="21390" xr2:uid="{A97F5145-23B5-4DAE-ADF1-A1D9CA80EEC5}"/>
  </bookViews>
  <sheets>
    <sheet name="Samlet stilling" sheetId="1" r:id="rId1"/>
    <sheet name="1 - 500m svømning" sheetId="2" r:id="rId2"/>
    <sheet name="2 - 5km løb" sheetId="3" r:id="rId3"/>
    <sheet name="3 - Duathlon" sheetId="4" r:id="rId4"/>
    <sheet name="4 - Open water" sheetId="5" r:id="rId5"/>
    <sheet name="5 - Triathlon" sheetId="6" r:id="rId6"/>
    <sheet name="6 - Time trial" sheetId="7" r:id="rId7"/>
    <sheet name="7 - Aquathlon" sheetId="8" r:id="rId8"/>
    <sheet name="8 - Trailløb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I5" i="1"/>
  <c r="I6" i="1"/>
  <c r="I7" i="1"/>
  <c r="I10" i="1"/>
  <c r="I9" i="1"/>
  <c r="I12" i="1"/>
  <c r="I11" i="1"/>
  <c r="I8" i="1"/>
  <c r="I13" i="1"/>
  <c r="I16" i="1"/>
  <c r="I14" i="1"/>
  <c r="I21" i="1"/>
  <c r="I17" i="1"/>
  <c r="I15" i="1"/>
  <c r="I23" i="1"/>
  <c r="I20" i="1"/>
  <c r="I25" i="1"/>
  <c r="I22" i="1"/>
  <c r="I24" i="1"/>
  <c r="I18" i="1"/>
  <c r="I19" i="1"/>
  <c r="I30" i="1"/>
  <c r="I31" i="1"/>
  <c r="I27" i="1"/>
  <c r="I28" i="1"/>
  <c r="I29" i="1"/>
  <c r="I32" i="1"/>
  <c r="I26" i="1"/>
  <c r="I33" i="1"/>
  <c r="I34" i="1"/>
  <c r="I37" i="1"/>
  <c r="I35" i="1"/>
  <c r="I36" i="1"/>
  <c r="U42" i="1"/>
  <c r="U43" i="1"/>
  <c r="U44" i="1"/>
  <c r="I42" i="1"/>
  <c r="I43" i="1"/>
  <c r="I44" i="1"/>
  <c r="I45" i="1"/>
  <c r="I46" i="1"/>
  <c r="I47" i="1"/>
  <c r="I48" i="1"/>
  <c r="H42" i="1"/>
  <c r="N42" i="1"/>
  <c r="V42" i="1" s="1"/>
  <c r="N43" i="1"/>
  <c r="N44" i="1"/>
  <c r="P44" i="1"/>
  <c r="B48" i="1"/>
  <c r="C48" i="1"/>
  <c r="D48" i="1"/>
  <c r="E48" i="1"/>
  <c r="F48" i="1"/>
  <c r="H48" i="1"/>
  <c r="I5" i="9"/>
  <c r="I6" i="9"/>
  <c r="I7" i="9"/>
  <c r="I4" i="9"/>
  <c r="H7" i="9"/>
  <c r="H6" i="9"/>
  <c r="H5" i="9"/>
  <c r="H4" i="9"/>
  <c r="H20" i="9"/>
  <c r="C20" i="9"/>
  <c r="D5" i="9"/>
  <c r="D6" i="9"/>
  <c r="D7" i="9"/>
  <c r="D8" i="9"/>
  <c r="D9" i="9"/>
  <c r="D10" i="9"/>
  <c r="D11" i="9"/>
  <c r="D12" i="9"/>
  <c r="D13" i="9"/>
  <c r="D14" i="9"/>
  <c r="D4" i="9"/>
  <c r="C5" i="9"/>
  <c r="C6" i="9"/>
  <c r="C7" i="9"/>
  <c r="C8" i="9"/>
  <c r="C9" i="9"/>
  <c r="C10" i="9"/>
  <c r="C11" i="9"/>
  <c r="C12" i="9"/>
  <c r="C13" i="9"/>
  <c r="C14" i="9"/>
  <c r="C4" i="9"/>
  <c r="H43" i="1"/>
  <c r="H45" i="1"/>
  <c r="H46" i="1"/>
  <c r="H44" i="1"/>
  <c r="H47" i="1"/>
  <c r="N8" i="7"/>
  <c r="O8" i="7" s="1"/>
  <c r="S5" i="1" s="1"/>
  <c r="I4" i="5"/>
  <c r="Q6" i="1" s="1"/>
  <c r="I5" i="5"/>
  <c r="I6" i="5"/>
  <c r="I7" i="5"/>
  <c r="Q7" i="1" s="1"/>
  <c r="I8" i="5"/>
  <c r="Q9" i="1" s="1"/>
  <c r="I9" i="5"/>
  <c r="Q5" i="1" s="1"/>
  <c r="H9" i="5"/>
  <c r="X6" i="4"/>
  <c r="P5" i="1" s="1"/>
  <c r="W6" i="4"/>
  <c r="V6" i="4"/>
  <c r="S6" i="4"/>
  <c r="P6" i="4"/>
  <c r="I9" i="3"/>
  <c r="I8" i="3"/>
  <c r="I7" i="3"/>
  <c r="I6" i="3"/>
  <c r="I5" i="3"/>
  <c r="I4" i="3"/>
  <c r="I10" i="3"/>
  <c r="H10" i="3"/>
  <c r="I5" i="2"/>
  <c r="I6" i="2"/>
  <c r="I7" i="2"/>
  <c r="I8" i="2"/>
  <c r="N9" i="1" s="1"/>
  <c r="I9" i="2"/>
  <c r="I4" i="2"/>
  <c r="I10" i="2"/>
  <c r="H10" i="2"/>
  <c r="N5" i="1"/>
  <c r="O5" i="1"/>
  <c r="R5" i="1"/>
  <c r="T5" i="1"/>
  <c r="T6" i="1"/>
  <c r="T9" i="1"/>
  <c r="T7" i="1"/>
  <c r="T8" i="1"/>
  <c r="T10" i="1"/>
  <c r="T11" i="1"/>
  <c r="T13" i="1"/>
  <c r="T15" i="1"/>
  <c r="T16" i="1"/>
  <c r="T14" i="1"/>
  <c r="T12" i="1"/>
  <c r="H5" i="1"/>
  <c r="F43" i="1"/>
  <c r="H12" i="1"/>
  <c r="H6" i="1"/>
  <c r="H13" i="1"/>
  <c r="H8" i="1"/>
  <c r="H10" i="1"/>
  <c r="H7" i="1"/>
  <c r="H9" i="1"/>
  <c r="H21" i="1"/>
  <c r="H11" i="1"/>
  <c r="H14" i="1"/>
  <c r="H16" i="1"/>
  <c r="H25" i="1"/>
  <c r="H17" i="1"/>
  <c r="H24" i="1"/>
  <c r="H22" i="1"/>
  <c r="H23" i="1"/>
  <c r="H20" i="1"/>
  <c r="H18" i="1"/>
  <c r="H30" i="1"/>
  <c r="H15" i="1"/>
  <c r="H31" i="1"/>
  <c r="H19" i="1"/>
  <c r="H27" i="1"/>
  <c r="H28" i="1"/>
  <c r="H33" i="1"/>
  <c r="H34" i="1"/>
  <c r="H37" i="1"/>
  <c r="H35" i="1"/>
  <c r="H26" i="1"/>
  <c r="H32" i="1"/>
  <c r="H36" i="1"/>
  <c r="H29" i="1"/>
  <c r="G5" i="1"/>
  <c r="M5" i="8"/>
  <c r="M6" i="8"/>
  <c r="M4" i="8"/>
  <c r="L6" i="8"/>
  <c r="L5" i="8"/>
  <c r="L4" i="8"/>
  <c r="F5" i="8"/>
  <c r="F6" i="8"/>
  <c r="F7" i="8"/>
  <c r="F8" i="8"/>
  <c r="F9" i="8"/>
  <c r="F10" i="8"/>
  <c r="F11" i="8"/>
  <c r="F12" i="8"/>
  <c r="F4" i="8"/>
  <c r="G4" i="7"/>
  <c r="G11" i="1" s="1"/>
  <c r="B29" i="1"/>
  <c r="C29" i="1"/>
  <c r="D29" i="1"/>
  <c r="E29" i="1"/>
  <c r="F29" i="1"/>
  <c r="G29" i="1"/>
  <c r="B36" i="1"/>
  <c r="C36" i="1"/>
  <c r="D36" i="1"/>
  <c r="E36" i="1"/>
  <c r="F36" i="1"/>
  <c r="G36" i="1"/>
  <c r="E17" i="8"/>
  <c r="E5" i="8"/>
  <c r="E6" i="8"/>
  <c r="E8" i="8"/>
  <c r="E9" i="8"/>
  <c r="E10" i="8"/>
  <c r="E11" i="8"/>
  <c r="E12" i="8"/>
  <c r="E4" i="8"/>
  <c r="N12" i="1"/>
  <c r="O12" i="1"/>
  <c r="P12" i="1"/>
  <c r="Q12" i="1"/>
  <c r="R12" i="1"/>
  <c r="S6" i="1"/>
  <c r="S9" i="1"/>
  <c r="S10" i="1"/>
  <c r="S11" i="1"/>
  <c r="S13" i="1"/>
  <c r="S15" i="1"/>
  <c r="S16" i="1"/>
  <c r="S14" i="1"/>
  <c r="G12" i="1"/>
  <c r="G6" i="1"/>
  <c r="G13" i="1"/>
  <c r="G8" i="1"/>
  <c r="G10" i="1"/>
  <c r="G7" i="1"/>
  <c r="G9" i="1"/>
  <c r="G21" i="1"/>
  <c r="G14" i="1"/>
  <c r="G16" i="1"/>
  <c r="G25" i="1"/>
  <c r="G17" i="1"/>
  <c r="G24" i="1"/>
  <c r="G22" i="1"/>
  <c r="G23" i="1"/>
  <c r="G20" i="1"/>
  <c r="G18" i="1"/>
  <c r="G30" i="1"/>
  <c r="G15" i="1"/>
  <c r="G31" i="1"/>
  <c r="G19" i="1"/>
  <c r="G27" i="1"/>
  <c r="G28" i="1"/>
  <c r="G33" i="1"/>
  <c r="G34" i="1"/>
  <c r="G37" i="1"/>
  <c r="G35" i="1"/>
  <c r="G26" i="1"/>
  <c r="G32" i="1"/>
  <c r="F5" i="1"/>
  <c r="O5" i="7"/>
  <c r="S8" i="1" s="1"/>
  <c r="O6" i="7"/>
  <c r="O7" i="7"/>
  <c r="S7" i="1" s="1"/>
  <c r="O4" i="7"/>
  <c r="S12" i="1" s="1"/>
  <c r="N4" i="7"/>
  <c r="N5" i="7"/>
  <c r="N6" i="7"/>
  <c r="N7" i="7"/>
  <c r="G5" i="7"/>
  <c r="G6" i="7"/>
  <c r="G7" i="7"/>
  <c r="G8" i="7"/>
  <c r="G9" i="7"/>
  <c r="G10" i="7"/>
  <c r="F4" i="4"/>
  <c r="F5" i="7"/>
  <c r="F6" i="7"/>
  <c r="F7" i="7"/>
  <c r="F8" i="7"/>
  <c r="F9" i="7"/>
  <c r="F10" i="7"/>
  <c r="F4" i="7"/>
  <c r="R6" i="1"/>
  <c r="R9" i="1"/>
  <c r="R7" i="1"/>
  <c r="R8" i="1"/>
  <c r="R10" i="1"/>
  <c r="R11" i="1"/>
  <c r="R13" i="1"/>
  <c r="R15" i="1"/>
  <c r="R16" i="1"/>
  <c r="R14" i="1"/>
  <c r="F42" i="1"/>
  <c r="F45" i="1"/>
  <c r="F46" i="1"/>
  <c r="F44" i="1"/>
  <c r="F47" i="1"/>
  <c r="F12" i="1"/>
  <c r="F6" i="1"/>
  <c r="F13" i="1"/>
  <c r="F8" i="1"/>
  <c r="F10" i="1"/>
  <c r="F7" i="1"/>
  <c r="F9" i="1"/>
  <c r="F21" i="1"/>
  <c r="F11" i="1"/>
  <c r="F14" i="1"/>
  <c r="F16" i="1"/>
  <c r="F25" i="1"/>
  <c r="F17" i="1"/>
  <c r="F24" i="1"/>
  <c r="F22" i="1"/>
  <c r="F23" i="1"/>
  <c r="F20" i="1"/>
  <c r="F18" i="1"/>
  <c r="F30" i="1"/>
  <c r="F15" i="1"/>
  <c r="F31" i="1"/>
  <c r="F19" i="1"/>
  <c r="F27" i="1"/>
  <c r="F28" i="1"/>
  <c r="F33" i="1"/>
  <c r="F34" i="1"/>
  <c r="F37" i="1"/>
  <c r="F35" i="1"/>
  <c r="F26" i="1"/>
  <c r="F32" i="1"/>
  <c r="E6" i="6"/>
  <c r="J6" i="6"/>
  <c r="O6" i="6"/>
  <c r="J28" i="6"/>
  <c r="J27" i="6"/>
  <c r="K27" i="6" s="1"/>
  <c r="O28" i="6"/>
  <c r="P28" i="6" s="1"/>
  <c r="O27" i="6"/>
  <c r="P27" i="6" s="1"/>
  <c r="E28" i="6"/>
  <c r="E27" i="6"/>
  <c r="F27" i="6" s="1"/>
  <c r="O21" i="6"/>
  <c r="J21" i="6"/>
  <c r="K21" i="6" s="1"/>
  <c r="E21" i="6"/>
  <c r="F21" i="6" s="1"/>
  <c r="O20" i="6"/>
  <c r="J20" i="6"/>
  <c r="E20" i="6"/>
  <c r="O7" i="6"/>
  <c r="O8" i="6"/>
  <c r="O9" i="6"/>
  <c r="O10" i="6"/>
  <c r="O11" i="6"/>
  <c r="O12" i="6"/>
  <c r="O13" i="6"/>
  <c r="O14" i="6"/>
  <c r="J7" i="6"/>
  <c r="J8" i="6"/>
  <c r="J9" i="6"/>
  <c r="J10" i="6"/>
  <c r="J11" i="6"/>
  <c r="J12" i="6"/>
  <c r="J13" i="6"/>
  <c r="J14" i="6"/>
  <c r="E11" i="6"/>
  <c r="E7" i="6"/>
  <c r="E8" i="6"/>
  <c r="E9" i="6"/>
  <c r="E10" i="6"/>
  <c r="E12" i="6"/>
  <c r="E13" i="6"/>
  <c r="E14" i="6"/>
  <c r="E42" i="1"/>
  <c r="E47" i="1"/>
  <c r="E43" i="1"/>
  <c r="E45" i="1"/>
  <c r="E46" i="1"/>
  <c r="E44" i="1"/>
  <c r="Q10" i="1"/>
  <c r="Q8" i="1"/>
  <c r="Q11" i="1"/>
  <c r="Q13" i="1"/>
  <c r="Q15" i="1"/>
  <c r="Q16" i="1"/>
  <c r="Q14" i="1"/>
  <c r="E5" i="1"/>
  <c r="E6" i="1"/>
  <c r="E8" i="1"/>
  <c r="E12" i="1"/>
  <c r="E13" i="1"/>
  <c r="E11" i="1"/>
  <c r="E17" i="1"/>
  <c r="E9" i="1"/>
  <c r="E10" i="1"/>
  <c r="E14" i="1"/>
  <c r="E24" i="1"/>
  <c r="E21" i="1"/>
  <c r="E7" i="1"/>
  <c r="E18" i="1"/>
  <c r="E16" i="1"/>
  <c r="E22" i="1"/>
  <c r="E30" i="1"/>
  <c r="E25" i="1"/>
  <c r="E20" i="1"/>
  <c r="E28" i="1"/>
  <c r="E23" i="1"/>
  <c r="E15" i="1"/>
  <c r="E31" i="1"/>
  <c r="E19" i="1"/>
  <c r="E33" i="1"/>
  <c r="E34" i="1"/>
  <c r="E27" i="1"/>
  <c r="E37" i="1"/>
  <c r="E26" i="1"/>
  <c r="E35" i="1"/>
  <c r="E32" i="1"/>
  <c r="C30" i="5"/>
  <c r="C31" i="5"/>
  <c r="C32" i="5"/>
  <c r="D30" i="5"/>
  <c r="D31" i="5"/>
  <c r="D32" i="5"/>
  <c r="N14" i="1"/>
  <c r="O14" i="1"/>
  <c r="P14" i="1"/>
  <c r="B32" i="1"/>
  <c r="C32" i="1"/>
  <c r="D32" i="1"/>
  <c r="B35" i="1"/>
  <c r="C35" i="1"/>
  <c r="D35" i="1"/>
  <c r="D5" i="1"/>
  <c r="D4" i="5"/>
  <c r="H8" i="5"/>
  <c r="H7" i="5"/>
  <c r="H6" i="5"/>
  <c r="H5" i="5"/>
  <c r="H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4" i="2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4" i="5"/>
  <c r="K4" i="4"/>
  <c r="K5" i="4"/>
  <c r="D12" i="1" s="1"/>
  <c r="K6" i="4"/>
  <c r="K7" i="4"/>
  <c r="K8" i="4"/>
  <c r="K9" i="4"/>
  <c r="K10" i="4"/>
  <c r="K11" i="4"/>
  <c r="K12" i="4"/>
  <c r="K13" i="4"/>
  <c r="K14" i="4"/>
  <c r="K15" i="4"/>
  <c r="D11" i="1"/>
  <c r="D6" i="1"/>
  <c r="P43" i="1"/>
  <c r="P42" i="1"/>
  <c r="D42" i="1"/>
  <c r="D47" i="1"/>
  <c r="D43" i="1"/>
  <c r="D45" i="1"/>
  <c r="D46" i="1"/>
  <c r="D44" i="1"/>
  <c r="J15" i="4"/>
  <c r="C15" i="4"/>
  <c r="F15" i="4"/>
  <c r="I15" i="4"/>
  <c r="N16" i="1"/>
  <c r="O16" i="1"/>
  <c r="P16" i="1"/>
  <c r="B27" i="1"/>
  <c r="C27" i="1"/>
  <c r="X5" i="4"/>
  <c r="P6" i="1"/>
  <c r="P10" i="1"/>
  <c r="P7" i="1"/>
  <c r="P8" i="1"/>
  <c r="P11" i="1"/>
  <c r="P13" i="1"/>
  <c r="P15" i="1"/>
  <c r="D8" i="1"/>
  <c r="D13" i="1"/>
  <c r="D9" i="1"/>
  <c r="D21" i="1"/>
  <c r="D7" i="1"/>
  <c r="D18" i="1"/>
  <c r="D30" i="1"/>
  <c r="D14" i="1"/>
  <c r="D25" i="1"/>
  <c r="D20" i="1"/>
  <c r="D28" i="1"/>
  <c r="D23" i="1"/>
  <c r="D15" i="1"/>
  <c r="D31" i="1"/>
  <c r="D19" i="1"/>
  <c r="D33" i="1"/>
  <c r="D34" i="1"/>
  <c r="D37" i="1"/>
  <c r="D26" i="1"/>
  <c r="C4" i="4"/>
  <c r="I4" i="4"/>
  <c r="J4" i="4"/>
  <c r="X19" i="4"/>
  <c r="X4" i="4"/>
  <c r="P9" i="1" s="1"/>
  <c r="K19" i="4"/>
  <c r="W19" i="4"/>
  <c r="V19" i="4"/>
  <c r="S19" i="4"/>
  <c r="P19" i="4"/>
  <c r="F20" i="4"/>
  <c r="F19" i="4"/>
  <c r="I20" i="4"/>
  <c r="I19" i="4"/>
  <c r="C19" i="4"/>
  <c r="C20" i="4"/>
  <c r="I5" i="4"/>
  <c r="I6" i="4"/>
  <c r="I7" i="4"/>
  <c r="I8" i="4"/>
  <c r="I9" i="4"/>
  <c r="I10" i="4"/>
  <c r="I11" i="4"/>
  <c r="I12" i="4"/>
  <c r="I13" i="4"/>
  <c r="I14" i="4"/>
  <c r="C5" i="4"/>
  <c r="C6" i="4"/>
  <c r="C7" i="4"/>
  <c r="C8" i="4"/>
  <c r="C9" i="4"/>
  <c r="C10" i="4"/>
  <c r="C11" i="4"/>
  <c r="C12" i="4"/>
  <c r="C13" i="4"/>
  <c r="C14" i="4"/>
  <c r="F5" i="4"/>
  <c r="F6" i="4"/>
  <c r="F7" i="4"/>
  <c r="F8" i="4"/>
  <c r="F9" i="4"/>
  <c r="F10" i="4"/>
  <c r="F11" i="4"/>
  <c r="F12" i="4"/>
  <c r="F13" i="4"/>
  <c r="F14" i="4"/>
  <c r="J20" i="4"/>
  <c r="K20" i="4" s="1"/>
  <c r="J19" i="4"/>
  <c r="J13" i="4"/>
  <c r="J12" i="4"/>
  <c r="J6" i="4"/>
  <c r="J7" i="4"/>
  <c r="J8" i="4"/>
  <c r="J9" i="4"/>
  <c r="J10" i="4"/>
  <c r="J11" i="4"/>
  <c r="D27" i="1" s="1"/>
  <c r="J5" i="4"/>
  <c r="C42" i="1"/>
  <c r="C47" i="1"/>
  <c r="C43" i="1"/>
  <c r="C45" i="1"/>
  <c r="C46" i="1"/>
  <c r="C44" i="1"/>
  <c r="B42" i="1"/>
  <c r="B47" i="1"/>
  <c r="B43" i="1"/>
  <c r="B45" i="1"/>
  <c r="B46" i="1"/>
  <c r="B44" i="1"/>
  <c r="O6" i="1"/>
  <c r="O8" i="1"/>
  <c r="O10" i="1"/>
  <c r="O7" i="1"/>
  <c r="O15" i="1"/>
  <c r="O9" i="1"/>
  <c r="O11" i="1"/>
  <c r="O13" i="1"/>
  <c r="N6" i="1"/>
  <c r="N8" i="1"/>
  <c r="N10" i="1"/>
  <c r="N7" i="1"/>
  <c r="N15" i="1"/>
  <c r="N11" i="1"/>
  <c r="N13" i="1"/>
  <c r="B7" i="1"/>
  <c r="B5" i="1"/>
  <c r="B13" i="1"/>
  <c r="B6" i="1"/>
  <c r="B21" i="1"/>
  <c r="B11" i="1"/>
  <c r="B8" i="1"/>
  <c r="B12" i="1"/>
  <c r="B9" i="1"/>
  <c r="B25" i="1"/>
  <c r="B28" i="1"/>
  <c r="B22" i="1"/>
  <c r="B23" i="1"/>
  <c r="B16" i="1"/>
  <c r="B30" i="1"/>
  <c r="B19" i="1"/>
  <c r="B20" i="1"/>
  <c r="B34" i="1"/>
  <c r="B37" i="1"/>
  <c r="B18" i="1"/>
  <c r="B24" i="1"/>
  <c r="B17" i="1"/>
  <c r="B14" i="1"/>
  <c r="B10" i="1"/>
  <c r="B15" i="1"/>
  <c r="B31" i="1"/>
  <c r="B26" i="1"/>
  <c r="B33" i="1"/>
  <c r="C7" i="1"/>
  <c r="C5" i="1"/>
  <c r="C13" i="1"/>
  <c r="C6" i="1"/>
  <c r="C21" i="1"/>
  <c r="C11" i="1"/>
  <c r="C8" i="1"/>
  <c r="C12" i="1"/>
  <c r="C9" i="1"/>
  <c r="C25" i="1"/>
  <c r="C28" i="1"/>
  <c r="C22" i="1"/>
  <c r="C23" i="1"/>
  <c r="C16" i="1"/>
  <c r="C30" i="1"/>
  <c r="C19" i="1"/>
  <c r="C20" i="1"/>
  <c r="C34" i="1"/>
  <c r="C37" i="1"/>
  <c r="C18" i="1"/>
  <c r="C24" i="1"/>
  <c r="C17" i="1"/>
  <c r="C14" i="1"/>
  <c r="C10" i="1"/>
  <c r="C15" i="1"/>
  <c r="C31" i="1"/>
  <c r="C26" i="1"/>
  <c r="C33" i="1"/>
  <c r="H9" i="3"/>
  <c r="H8" i="3"/>
  <c r="H7" i="3"/>
  <c r="H6" i="3"/>
  <c r="H5" i="3"/>
  <c r="H4" i="3"/>
  <c r="D27" i="3"/>
  <c r="D28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C28" i="3"/>
  <c r="C27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4" i="3"/>
  <c r="D5" i="2"/>
  <c r="D6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C7" i="2"/>
  <c r="D7" i="2"/>
  <c r="A78" i="1" a="1"/>
  <c r="A78" i="1" s="1"/>
  <c r="D31" i="2"/>
  <c r="D30" i="2"/>
  <c r="D32" i="2"/>
  <c r="D29" i="2"/>
  <c r="D28" i="2"/>
  <c r="I29" i="2"/>
  <c r="I28" i="2"/>
  <c r="H29" i="2"/>
  <c r="H28" i="2"/>
  <c r="H5" i="2"/>
  <c r="H6" i="2"/>
  <c r="H7" i="2"/>
  <c r="H8" i="2"/>
  <c r="H9" i="2"/>
  <c r="H4" i="2"/>
  <c r="C30" i="2"/>
  <c r="C32" i="2"/>
  <c r="C29" i="2"/>
  <c r="C28" i="2"/>
  <c r="C31" i="2"/>
  <c r="C6" i="2"/>
  <c r="C9" i="2"/>
  <c r="C12" i="2"/>
  <c r="C13" i="2"/>
  <c r="C5" i="2"/>
  <c r="C20" i="2"/>
  <c r="C21" i="2"/>
  <c r="C14" i="2"/>
  <c r="C24" i="2"/>
  <c r="C23" i="2"/>
  <c r="C17" i="2"/>
  <c r="C15" i="2"/>
  <c r="C8" i="2"/>
  <c r="C4" i="2"/>
  <c r="C10" i="2"/>
  <c r="C22" i="2"/>
  <c r="C19" i="2"/>
  <c r="C18" i="2"/>
  <c r="C16" i="2"/>
  <c r="C11" i="2"/>
  <c r="J48" i="1" a="1"/>
  <c r="J46" i="1" a="1"/>
  <c r="V13" i="1" a="1"/>
  <c r="J34" i="1" a="1"/>
  <c r="J8" i="1" a="1"/>
  <c r="V9" i="1" a="1"/>
  <c r="J29" i="1" a="1"/>
  <c r="J14" i="1" a="1"/>
  <c r="J43" i="1" a="1"/>
  <c r="J42" i="1" a="1"/>
  <c r="V15" i="1" a="1"/>
  <c r="J21" i="1" a="1"/>
  <c r="J23" i="1" a="1"/>
  <c r="V14" i="1" a="1"/>
  <c r="V7" i="1" a="1"/>
  <c r="J5" i="1" a="1"/>
  <c r="J11" i="1" a="1"/>
  <c r="J19" i="1" a="1"/>
  <c r="J30" i="1" a="1"/>
  <c r="J27" i="1" a="1"/>
  <c r="V16" i="1" a="1"/>
  <c r="J6" i="1" a="1"/>
  <c r="J18" i="1" a="1"/>
  <c r="J35" i="1" a="1"/>
  <c r="J28" i="1" a="1"/>
  <c r="J20" i="1" a="1"/>
  <c r="V6" i="1" a="1"/>
  <c r="V11" i="1" a="1"/>
  <c r="J12" i="1" a="1"/>
  <c r="J13" i="1" a="1"/>
  <c r="J26" i="1" a="1"/>
  <c r="J37" i="1" a="1"/>
  <c r="J33" i="1" a="1"/>
  <c r="J36" i="1" a="1"/>
  <c r="J7" i="1" a="1"/>
  <c r="V10" i="1" a="1"/>
  <c r="J32" i="1" a="1"/>
  <c r="J31" i="1" a="1"/>
  <c r="J25" i="1" a="1"/>
  <c r="J9" i="1" a="1"/>
  <c r="V12" i="1" a="1"/>
  <c r="J15" i="1" a="1"/>
  <c r="V5" i="1" a="1"/>
  <c r="V8" i="1" a="1"/>
  <c r="J45" i="1" a="1"/>
  <c r="J44" i="1" a="1"/>
  <c r="J47" i="1" a="1"/>
  <c r="V44" i="1" l="1"/>
  <c r="V43" i="1"/>
  <c r="W42" i="1"/>
  <c r="W44" i="1"/>
  <c r="W43" i="1"/>
  <c r="J48" i="1"/>
  <c r="J42" i="1"/>
  <c r="J43" i="1"/>
  <c r="J46" i="1"/>
  <c r="J47" i="1"/>
  <c r="J44" i="1"/>
  <c r="J45" i="1"/>
  <c r="V15" i="1"/>
  <c r="V9" i="1"/>
  <c r="V13" i="1"/>
  <c r="V6" i="1"/>
  <c r="V12" i="1"/>
  <c r="V14" i="1"/>
  <c r="V8" i="1"/>
  <c r="V5" i="1"/>
  <c r="V10" i="1"/>
  <c r="V11" i="1"/>
  <c r="V16" i="1"/>
  <c r="V7" i="1"/>
  <c r="J5" i="1"/>
  <c r="J6" i="1"/>
  <c r="J12" i="1"/>
  <c r="J25" i="1"/>
  <c r="J26" i="1"/>
  <c r="J35" i="1"/>
  <c r="J19" i="1"/>
  <c r="J23" i="1"/>
  <c r="J14" i="1"/>
  <c r="J8" i="1"/>
  <c r="J7" i="1"/>
  <c r="J27" i="1"/>
  <c r="J20" i="1"/>
  <c r="J28" i="1"/>
  <c r="J37" i="1"/>
  <c r="J31" i="1"/>
  <c r="J13" i="1"/>
  <c r="J18" i="1"/>
  <c r="J11" i="1"/>
  <c r="J21" i="1"/>
  <c r="J29" i="1"/>
  <c r="J34" i="1"/>
  <c r="J15" i="1"/>
  <c r="J36" i="1"/>
  <c r="J33" i="1"/>
  <c r="J30" i="1"/>
  <c r="J9" i="1"/>
  <c r="J32" i="1"/>
  <c r="Q7" i="6"/>
  <c r="F20" i="6"/>
  <c r="Q28" i="6"/>
  <c r="Q27" i="6"/>
  <c r="R27" i="6" s="1"/>
  <c r="F28" i="6"/>
  <c r="K28" i="6"/>
  <c r="P21" i="6"/>
  <c r="Q11" i="6"/>
  <c r="Q9" i="6"/>
  <c r="Q13" i="6"/>
  <c r="R28" i="6"/>
  <c r="K6" i="6"/>
  <c r="K20" i="6"/>
  <c r="Q6" i="6"/>
  <c r="Q8" i="6"/>
  <c r="K7" i="6"/>
  <c r="P20" i="6"/>
  <c r="Q14" i="6"/>
  <c r="P6" i="6"/>
  <c r="Q12" i="6"/>
  <c r="F6" i="6"/>
  <c r="F11" i="6"/>
  <c r="F10" i="6"/>
  <c r="F9" i="6"/>
  <c r="K8" i="6"/>
  <c r="F7" i="6"/>
  <c r="F12" i="6"/>
  <c r="K14" i="6"/>
  <c r="F8" i="6"/>
  <c r="K13" i="6"/>
  <c r="K12" i="6"/>
  <c r="K11" i="6"/>
  <c r="K10" i="6"/>
  <c r="K9" i="6"/>
  <c r="P8" i="6"/>
  <c r="Q20" i="6"/>
  <c r="Q21" i="6"/>
  <c r="R21" i="6" s="1"/>
  <c r="P7" i="6"/>
  <c r="P14" i="6"/>
  <c r="Q10" i="6"/>
  <c r="P13" i="6"/>
  <c r="P12" i="6"/>
  <c r="P11" i="6"/>
  <c r="P10" i="6"/>
  <c r="P9" i="6"/>
  <c r="F14" i="6"/>
  <c r="F13" i="6"/>
  <c r="D24" i="1"/>
  <c r="D10" i="1"/>
  <c r="D22" i="1"/>
  <c r="D16" i="1"/>
  <c r="D17" i="1"/>
  <c r="K45" i="1" l="1"/>
  <c r="K44" i="1"/>
  <c r="K47" i="1"/>
  <c r="K43" i="1"/>
  <c r="K46" i="1"/>
  <c r="K42" i="1"/>
  <c r="K48" i="1"/>
  <c r="W16" i="1"/>
  <c r="W7" i="1"/>
  <c r="W10" i="1"/>
  <c r="W13" i="1"/>
  <c r="W12" i="1"/>
  <c r="W11" i="1"/>
  <c r="W5" i="1"/>
  <c r="W9" i="1"/>
  <c r="W8" i="1"/>
  <c r="W14" i="1"/>
  <c r="W6" i="1"/>
  <c r="W15" i="1"/>
  <c r="R6" i="6"/>
  <c r="R20" i="6"/>
  <c r="R10" i="6"/>
  <c r="R9" i="6"/>
  <c r="R13" i="6"/>
  <c r="R14" i="6"/>
  <c r="R12" i="6"/>
  <c r="R11" i="6"/>
  <c r="R7" i="6"/>
  <c r="R8" i="6"/>
  <c r="E7" i="8" l="1"/>
  <c r="J17" i="1" a="1"/>
  <c r="J22" i="1" a="1"/>
  <c r="J10" i="1" a="1"/>
  <c r="J16" i="1" a="1"/>
  <c r="J24" i="1" a="1"/>
  <c r="J24" i="1" l="1"/>
  <c r="J16" i="1"/>
  <c r="J10" i="1"/>
  <c r="J22" i="1"/>
  <c r="J17" i="1"/>
  <c r="K36" i="1" l="1"/>
  <c r="K6" i="1"/>
  <c r="K24" i="1"/>
  <c r="K19" i="1"/>
  <c r="K15" i="1"/>
  <c r="K5" i="1"/>
  <c r="K25" i="1"/>
  <c r="K34" i="1"/>
  <c r="K10" i="1"/>
  <c r="K33" i="1"/>
  <c r="K12" i="1"/>
  <c r="K20" i="1"/>
  <c r="K11" i="1"/>
  <c r="K27" i="1"/>
  <c r="K18" i="1"/>
  <c r="K23" i="1"/>
  <c r="K26" i="1"/>
  <c r="K37" i="1"/>
  <c r="K13" i="1"/>
  <c r="K32" i="1"/>
  <c r="K16" i="1"/>
  <c r="K35" i="1"/>
  <c r="K29" i="1"/>
  <c r="K21" i="1"/>
  <c r="K14" i="1"/>
  <c r="K7" i="1"/>
  <c r="K30" i="1"/>
  <c r="K17" i="1"/>
  <c r="K22" i="1"/>
  <c r="K31" i="1"/>
  <c r="K9" i="1"/>
  <c r="K28" i="1"/>
  <c r="K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<sst xmlns="http://schemas.openxmlformats.org/spreadsheetml/2006/main" count="562" uniqueCount="116">
  <si>
    <t>100m pace:</t>
  </si>
  <si>
    <t>Deltager:</t>
  </si>
  <si>
    <t>Tid:</t>
  </si>
  <si>
    <t>Herre samlet:</t>
  </si>
  <si>
    <t>Kvinder samlet:</t>
  </si>
  <si>
    <t>Nikolaj Justesen</t>
  </si>
  <si>
    <t>David Andresen</t>
  </si>
  <si>
    <t>Martin Tanderup</t>
  </si>
  <si>
    <t>Keld Hejlskov</t>
  </si>
  <si>
    <t>Max Væhrens</t>
  </si>
  <si>
    <t>Ole Andersen</t>
  </si>
  <si>
    <t>Michael Falkenberg</t>
  </si>
  <si>
    <t>Mikkel van Binsbergen-Galàn</t>
  </si>
  <si>
    <t>Mads Kaae Jørgensen</t>
  </si>
  <si>
    <t>Lasse Høj Christensen</t>
  </si>
  <si>
    <t>Lasse Knygbjerg Juul Poulsen</t>
  </si>
  <si>
    <t>Peter Brund Kristensen</t>
  </si>
  <si>
    <t>Jan Valentin Ohlsen</t>
  </si>
  <si>
    <t>Simon Buus Nielsen</t>
  </si>
  <si>
    <t>Kris Kristensen</t>
  </si>
  <si>
    <t>Asger Ågård Haslund</t>
  </si>
  <si>
    <t>Andreas Kruse Runge</t>
  </si>
  <si>
    <t>Tobias Krabbe Brandt</t>
  </si>
  <si>
    <t>Mads Hvarregaard Stokkendal</t>
  </si>
  <si>
    <t>Poul Jørgen Lund</t>
  </si>
  <si>
    <t>Clara Nielsen</t>
  </si>
  <si>
    <t>Annette Rask Thomsen</t>
  </si>
  <si>
    <t>Maria Buchvoll</t>
  </si>
  <si>
    <t>Nanna Engholm Espesen</t>
  </si>
  <si>
    <t>Emilie Rosager</t>
  </si>
  <si>
    <t>Point samlet:</t>
  </si>
  <si>
    <t>Point masters:</t>
  </si>
  <si>
    <t>1. Afdeling i Sofiendal d. 29/3 - 500 m svømning</t>
  </si>
  <si>
    <t>2. Afdeling i Skovdalen d. 17/4 - 5000 m løb</t>
  </si>
  <si>
    <t>Pace:</t>
  </si>
  <si>
    <t>Kvinder masters:</t>
  </si>
  <si>
    <t>Herre masters</t>
  </si>
  <si>
    <t>Fart:</t>
  </si>
  <si>
    <t>3. Afdeling i vestbyen d. 6/5 - duathlon 5-20-5 km</t>
  </si>
  <si>
    <t>4. Afdeling i kridtgraven d. 30/5 - open water</t>
  </si>
  <si>
    <t>Samlet stilling for Aalborg Triathlon Klubs klubkonkurrence 2023</t>
  </si>
  <si>
    <t>Afdeling:</t>
  </si>
  <si>
    <t>5. Afdeling ved Madumsø d. 11/6 - Super League Triathlon</t>
  </si>
  <si>
    <t>Herre masters:</t>
  </si>
  <si>
    <t>1</t>
  </si>
  <si>
    <t>2</t>
  </si>
  <si>
    <t>3</t>
  </si>
  <si>
    <t>4</t>
  </si>
  <si>
    <t>5</t>
  </si>
  <si>
    <t>6</t>
  </si>
  <si>
    <t>7</t>
  </si>
  <si>
    <t>8</t>
  </si>
  <si>
    <t>Sum:</t>
  </si>
  <si>
    <t>Samlet placering:</t>
  </si>
  <si>
    <t>Thorstein Østergaard</t>
  </si>
  <si>
    <t>Simon Lund Larsen</t>
  </si>
  <si>
    <t>Aksel Bang</t>
  </si>
  <si>
    <t>Aksel Lai Thomasbjerg</t>
  </si>
  <si>
    <t>Phillip Sperling</t>
  </si>
  <si>
    <t>Søren Dalsgaard Jakobsen</t>
  </si>
  <si>
    <t>Lasse Munck Rasmussen</t>
  </si>
  <si>
    <t>Raviv Talmor</t>
  </si>
  <si>
    <t>Ida Dollerup Byrckel</t>
  </si>
  <si>
    <t>Pace (min/km):</t>
  </si>
  <si>
    <t>Løb 2:</t>
  </si>
  <si>
    <t>T2:</t>
  </si>
  <si>
    <t>Cykel:</t>
  </si>
  <si>
    <t>T1:</t>
  </si>
  <si>
    <t>Løb 1:</t>
  </si>
  <si>
    <t>Samlet tid:</t>
  </si>
  <si>
    <t>Placering:</t>
  </si>
  <si>
    <t>Søren Lundsgaard</t>
  </si>
  <si>
    <t>Allan Rasmussen</t>
  </si>
  <si>
    <t>DNF</t>
  </si>
  <si>
    <t>Pace:2</t>
  </si>
  <si>
    <t>Pace:3</t>
  </si>
  <si>
    <t>DNS</t>
  </si>
  <si>
    <t>Søren Hyldal</t>
  </si>
  <si>
    <t>Carsten Aarup</t>
  </si>
  <si>
    <t>Første runde (200m svømning, 7km cykling &amp; 2 km løb)</t>
  </si>
  <si>
    <t>Svømmetid:</t>
  </si>
  <si>
    <t>Cykeltid:</t>
  </si>
  <si>
    <t>Løbetid:</t>
  </si>
  <si>
    <t>Samlettid:</t>
  </si>
  <si>
    <t>Runde placering:</t>
  </si>
  <si>
    <t>Anden runde (7km cykling, 200m svømning &amp; 2 km løb)</t>
  </si>
  <si>
    <t>Tredje runde (2km løb, 7km cykling &amp; 200m svømning)</t>
  </si>
  <si>
    <t>Herre Masters:</t>
  </si>
  <si>
    <t>Cykeltid:2</t>
  </si>
  <si>
    <t>Svømmetid:3</t>
  </si>
  <si>
    <t>Løbetid:4</t>
  </si>
  <si>
    <t>Samlettid:5</t>
  </si>
  <si>
    <t>Runde placering:6</t>
  </si>
  <si>
    <t>Løbetid:7</t>
  </si>
  <si>
    <t>Cykeltid:8</t>
  </si>
  <si>
    <t>Svømmetid:9</t>
  </si>
  <si>
    <t>Samlettid:10</t>
  </si>
  <si>
    <t>Runde placering:11</t>
  </si>
  <si>
    <t>Samlet:</t>
  </si>
  <si>
    <t>1. omgang</t>
  </si>
  <si>
    <t>2. omgang</t>
  </si>
  <si>
    <t>3. omgang</t>
  </si>
  <si>
    <t>4. omgang</t>
  </si>
  <si>
    <t>Samlet tid</t>
  </si>
  <si>
    <t>Point:</t>
  </si>
  <si>
    <t>Aksel Nielsen</t>
  </si>
  <si>
    <t>7. Afdeling ved trekanten d. 10/8 - time trial</t>
  </si>
  <si>
    <t>Svømme tid:</t>
  </si>
  <si>
    <t>Løbe tid:</t>
  </si>
  <si>
    <t>T1 tid:</t>
  </si>
  <si>
    <t>Mikkel Schumacher</t>
  </si>
  <si>
    <t>Søren Hyldal Sørensen</t>
  </si>
  <si>
    <t>8. Afdeling ved kridtraven d. 17/8 - aquatlon</t>
  </si>
  <si>
    <t>9. Afdeling ved Skovdalen d. 4/9  - 4 km trailløb</t>
  </si>
  <si>
    <t>Lasse Stenstrop</t>
  </si>
  <si>
    <t>Helle Birch Nielsen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</si>
</sst>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mm:ss.00"/>
    <numFmt numFmtId="166" formatCode="hh:mm:ss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/>
        <bgColor theme="4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9" tint="0.79998168889431442"/>
        <bgColor theme="9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" fillId="2" borderId="0" xfId="0" applyFont="1" applyFill="1"/>
    <xf numFmtId="0" fontId="1" fillId="2" borderId="4" xfId="0" applyFont="1" applyFill="1" applyBorder="1"/>
    <xf numFmtId="0" fontId="0" fillId="4" borderId="8" xfId="0" applyFill="1" applyBorder="1"/>
    <xf numFmtId="0" fontId="0" fillId="5" borderId="8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6" borderId="8" xfId="0" applyFill="1" applyBorder="1"/>
    <xf numFmtId="0" fontId="0" fillId="3" borderId="8" xfId="0" applyFill="1" applyBorder="1"/>
    <xf numFmtId="0" fontId="3" fillId="0" borderId="0" xfId="0" applyFont="1"/>
    <xf numFmtId="0" fontId="0" fillId="6" borderId="10" xfId="0" applyFill="1" applyBorder="1"/>
    <xf numFmtId="0" fontId="0" fillId="0" borderId="0" xfId="0" applyAlignment="1">
      <alignment vertical="center"/>
    </xf>
    <xf numFmtId="0" fontId="0" fillId="7" borderId="8" xfId="0" applyFill="1" applyBorder="1"/>
    <xf numFmtId="0" fontId="1" fillId="8" borderId="6" xfId="0" applyFont="1" applyFill="1" applyBorder="1"/>
    <xf numFmtId="0" fontId="1" fillId="8" borderId="7" xfId="0" applyFont="1" applyFill="1" applyBorder="1"/>
    <xf numFmtId="0" fontId="1" fillId="8" borderId="5" xfId="0" applyFont="1" applyFill="1" applyBorder="1"/>
    <xf numFmtId="165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45" fontId="0" fillId="0" borderId="0" xfId="0" applyNumberFormat="1"/>
    <xf numFmtId="0" fontId="1" fillId="9" borderId="6" xfId="0" applyFont="1" applyFill="1" applyBorder="1"/>
    <xf numFmtId="0" fontId="0" fillId="3" borderId="9" xfId="0" applyFill="1" applyBorder="1"/>
    <xf numFmtId="0" fontId="0" fillId="3" borderId="12" xfId="0" applyFill="1" applyBorder="1"/>
    <xf numFmtId="0" fontId="4" fillId="0" borderId="0" xfId="0" applyFont="1"/>
    <xf numFmtId="0" fontId="0" fillId="12" borderId="8" xfId="0" applyFill="1" applyBorder="1"/>
    <xf numFmtId="0" fontId="0" fillId="7" borderId="9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7" borderId="12" xfId="0" applyFill="1" applyBorder="1"/>
    <xf numFmtId="166" fontId="0" fillId="0" borderId="0" xfId="0" applyNumberFormat="1"/>
    <xf numFmtId="0" fontId="0" fillId="7" borderId="10" xfId="0" applyFill="1" applyBorder="1"/>
    <xf numFmtId="0" fontId="0" fillId="5" borderId="9" xfId="0" applyFill="1" applyBorder="1"/>
    <xf numFmtId="0" fontId="0" fillId="11" borderId="8" xfId="0" applyFill="1" applyBorder="1"/>
    <xf numFmtId="0" fontId="0" fillId="10" borderId="9" xfId="0" applyFill="1" applyBorder="1"/>
    <xf numFmtId="21" fontId="0" fillId="0" borderId="0" xfId="0" applyNumberFormat="1"/>
    <xf numFmtId="0" fontId="0" fillId="0" borderId="13" xfId="0" applyBorder="1"/>
    <xf numFmtId="45" fontId="0" fillId="0" borderId="13" xfId="0" applyNumberFormat="1" applyBorder="1"/>
    <xf numFmtId="21" fontId="0" fillId="0" borderId="13" xfId="0" applyNumberFormat="1" applyBorder="1"/>
    <xf numFmtId="46" fontId="0" fillId="0" borderId="13" xfId="0" applyNumberFormat="1" applyBorder="1"/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/>
    <xf numFmtId="46" fontId="0" fillId="0" borderId="0" xfId="0" applyNumberFormat="1"/>
    <xf numFmtId="47" fontId="0" fillId="0" borderId="0" xfId="0" applyNumberFormat="1"/>
    <xf numFmtId="0" fontId="1" fillId="0" borderId="6" xfId="0" applyFont="1" applyBorder="1"/>
    <xf numFmtId="0" fontId="1" fillId="0" borderId="0" xfId="0" applyFont="1"/>
    <xf numFmtId="47" fontId="0" fillId="3" borderId="15" xfId="0" applyNumberFormat="1" applyFill="1" applyBorder="1"/>
    <xf numFmtId="166" fontId="0" fillId="3" borderId="15" xfId="0" applyNumberFormat="1" applyFill="1" applyBorder="1"/>
    <xf numFmtId="0" fontId="0" fillId="3" borderId="16" xfId="0" applyFill="1" applyBorder="1"/>
    <xf numFmtId="0" fontId="1" fillId="9" borderId="5" xfId="0" applyFont="1" applyFill="1" applyBorder="1"/>
    <xf numFmtId="0" fontId="1" fillId="9" borderId="7" xfId="0" applyFont="1" applyFill="1" applyBorder="1"/>
    <xf numFmtId="0" fontId="1" fillId="9" borderId="0" xfId="0" applyFont="1" applyFill="1"/>
    <xf numFmtId="0" fontId="0" fillId="3" borderId="17" xfId="0" applyFill="1" applyBorder="1"/>
    <xf numFmtId="0" fontId="0" fillId="6" borderId="9" xfId="0" applyFill="1" applyBorder="1"/>
    <xf numFmtId="0" fontId="0" fillId="3" borderId="10" xfId="0" applyFill="1" applyBorder="1"/>
    <xf numFmtId="0" fontId="0" fillId="6" borderId="11" xfId="0" applyFill="1" applyBorder="1"/>
    <xf numFmtId="0" fontId="0" fillId="4" borderId="9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4" borderId="9" xfId="0" applyFont="1" applyFill="1" applyBorder="1"/>
    <xf numFmtId="0" fontId="0" fillId="0" borderId="0" xfId="0" applyNumberFormat="1"/>
    <xf numFmtId="0" fontId="0" fillId="0" borderId="0" xfId="0" applyNumberFormat="1" applyBorder="1"/>
  </cellXfs>
  <cellStyles count="1">
    <cellStyle name="Normal" xfId="0" builtinId="0"/>
  </cellStyles>
  <dxfs count="19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5" formatCode="mm:ss.00"/>
    </dxf>
    <dxf>
      <numFmt numFmtId="165" formatCode="mm:ss.0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5" formatCode="mm:ss.00"/>
    </dxf>
    <dxf>
      <numFmt numFmtId="165" formatCode="mm:ss.00"/>
    </dxf>
    <dxf>
      <border outline="0">
        <bottom style="thick">
          <color theme="0"/>
        </bottom>
      </border>
    </dxf>
    <dxf>
      <numFmt numFmtId="0" formatCode="General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9"/>
        </patternFill>
      </fill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numFmt numFmtId="166" formatCode="hh:mm:ss.0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166" formatCode="hh:mm:ss.00"/>
    </dxf>
    <dxf>
      <numFmt numFmtId="29" formatCode="mm:ss.0"/>
    </dxf>
    <dxf>
      <numFmt numFmtId="29" formatCode="mm:ss.0"/>
    </dxf>
    <dxf>
      <numFmt numFmtId="29" formatCode="mm:ss.0"/>
    </dxf>
    <dxf>
      <numFmt numFmtId="29" formatCode="mm:ss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1" formatCode="[h]: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1" formatCode="[h]:mm:ss"/>
    </dxf>
    <dxf>
      <numFmt numFmtId="26" formatCode="hh:mm:ss"/>
    </dxf>
    <dxf>
      <numFmt numFmtId="26" formatCode="hh:mm:ss"/>
    </dxf>
    <dxf>
      <numFmt numFmtId="26" formatCode="hh: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1" formatCode="[h]:mm:ss"/>
    </dxf>
    <dxf>
      <numFmt numFmtId="26" formatCode="hh:mm:ss"/>
    </dxf>
    <dxf>
      <numFmt numFmtId="26" formatCode="hh:mm:ss"/>
    </dxf>
    <dxf>
      <numFmt numFmtId="26" formatCode="hh: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1" formatCode="[h]:mm:ss"/>
    </dxf>
    <dxf>
      <numFmt numFmtId="26" formatCode="hh:mm:ss"/>
    </dxf>
    <dxf>
      <numFmt numFmtId="26" formatCode="hh:mm:ss"/>
    </dxf>
    <dxf>
      <numFmt numFmtId="26" formatCode="hh: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6" formatCode="hh:mm:ss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6" formatCode="hh: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8" formatCode="mm:ss"/>
    </dxf>
    <dxf>
      <numFmt numFmtId="28" formatCode="mm:ss"/>
    </dxf>
    <dxf>
      <numFmt numFmtId="28" formatCode="mm:ss"/>
    </dxf>
    <dxf>
      <numFmt numFmtId="28" formatCode="mm:ss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</dxf>
    <dxf>
      <numFmt numFmtId="165" formatCode="mm:ss.00"/>
    </dxf>
    <dxf>
      <numFmt numFmtId="165" formatCode="mm:ss.0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mm:ss.00"/>
    </dxf>
    <dxf>
      <numFmt numFmtId="165" formatCode="mm:ss.00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65" formatCode="mm:ss.00"/>
    </dxf>
    <dxf>
      <numFmt numFmtId="165" formatCode="mm:ss.00"/>
    </dxf>
    <dxf>
      <numFmt numFmtId="166" formatCode="hh: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6" formatCode="hh: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6" formatCode="hh: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0" formatCode="General"/>
    </dxf>
    <dxf>
      <numFmt numFmtId="166" formatCode="hh: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numFmt numFmtId="165" formatCode="mm:ss.0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28" formatCode="mm:ss"/>
    </dxf>
    <dxf>
      <numFmt numFmtId="165" formatCode="mm:ss.00"/>
    </dxf>
    <dxf>
      <numFmt numFmtId="0" formatCode="General"/>
    </dxf>
    <dxf>
      <numFmt numFmtId="28" formatCode="mm:ss"/>
    </dxf>
    <dxf>
      <numFmt numFmtId="165" formatCode="mm:ss.0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28" formatCode="mm:ss"/>
    </dxf>
    <dxf>
      <numFmt numFmtId="165" formatCode="mm:ss.0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4" formatCode="[$-F400]h:mm:ss\ AM/PM"/>
    </dxf>
    <dxf>
      <numFmt numFmtId="165" formatCode="mm:ss.00"/>
    </dxf>
    <dxf>
      <border outline="0">
        <top style="thin">
          <color theme="4"/>
        </top>
      </border>
    </dxf>
    <dxf>
      <numFmt numFmtId="0" formatCode="General"/>
    </dxf>
    <dxf>
      <numFmt numFmtId="164" formatCode="[$-F400]h:mm:ss\ AM/PM"/>
    </dxf>
    <dxf>
      <numFmt numFmtId="165" formatCode="mm:ss.00"/>
    </dxf>
    <dxf>
      <numFmt numFmtId="164" formatCode="[$-F400]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mm:ss.0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theme="4"/>
        </left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164" formatCode="[$-F400]h:mm:ss\ AM/PM"/>
    </dxf>
    <dxf>
      <numFmt numFmtId="165" formatCode="mm:ss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59999389629810485"/>
          <bgColor theme="9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0"/>
        </right>
        <top style="thin">
          <color theme="4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1EB76FA-AA48-4169-AE95-C300BFDEFDDD}" name="Table7" displayName="Table7" ref="M4:W16" totalsRowShown="0">
  <autoFilter ref="M4:W16" xr:uid="{A1EB76FA-AA48-4169-AE95-C300BFDEFDDD}"/>
  <sortState xmlns:xlrd2="http://schemas.microsoft.com/office/spreadsheetml/2017/richdata2" ref="M5:W16">
    <sortCondition ref="W4:W16"/>
  </sortState>
  <tableColumns count="11">
    <tableColumn id="1" xr3:uid="{B664D898-4F77-4A07-963B-E22D26B4EFF2}" name="Deltager:" dataDxfId="198"/>
    <tableColumn id="2" xr3:uid="{0AE014FC-082F-4263-9F57-E59BE1F0D0D0}" name="1" dataDxfId="197">
      <calculatedColumnFormula>IFERROR(VLOOKUP(M5,SwimMaleMaster[],4,FALSE),ROWS(SwimMaleMaster[])+5)</calculatedColumnFormula>
    </tableColumn>
    <tableColumn id="3" xr3:uid="{0D90DE5F-207E-4A71-B245-F901C8AD7D91}" name="2" dataDxfId="196">
      <calculatedColumnFormula>IFERROR(VLOOKUP(M5,RunMaleMaster[],4,FALSE),ROWS(RunMaleMaster[])+5)</calculatedColumnFormula>
    </tableColumn>
    <tableColumn id="4" xr3:uid="{D5202ACA-0F39-4A11-A10A-65411B802992}" name="3" dataDxfId="195">
      <calculatedColumnFormula>IFERROR(VLOOKUP(M5,DuathlonMaleMaster[],11,FALSE),ROWS(DuathlonMaleMaster[])+5)</calculatedColumnFormula>
    </tableColumn>
    <tableColumn id="5" xr3:uid="{7472CA58-28E0-46A2-A1D6-A5BEBE971495}" name="4" dataDxfId="194">
      <calculatedColumnFormula>IFERROR(VLOOKUP(M5,OpenWaterMaleMaster[],4,FALSE),ROWS(OpenWaterMaleMaster[])+5)</calculatedColumnFormula>
    </tableColumn>
    <tableColumn id="6" xr3:uid="{2CFCD8A7-388A-4283-AF5C-F9DCADE20EE5}" name="5" dataDxfId="193">
      <calculatedColumnFormula>IFERROR(VLOOKUP(M5,TriathlonMaleMasters[],18,FALSE),ROWS(TriathlonMaleMasters[])+5)</calculatedColumnFormula>
    </tableColumn>
    <tableColumn id="7" xr3:uid="{FC74730C-4272-43A4-83EE-FCED864139D9}" name="6" dataDxfId="192">
      <calculatedColumnFormula>IFERROR(VLOOKUP(M5,TimeTrialMaleMaster[],7,FALSE),ROWS(TimeTrialMaleMaster[])+5)</calculatedColumnFormula>
    </tableColumn>
    <tableColumn id="8" xr3:uid="{B294D1C2-A553-41B4-A7BF-5B8EFE53115F}" name="7" dataDxfId="191">
      <calculatedColumnFormula>IFERROR(VLOOKUP(M5,AquatlonMaleMaster[],6,FALSE),ROWS(AquatlonMaleMaster[])+5)</calculatedColumnFormula>
    </tableColumn>
    <tableColumn id="9" xr3:uid="{167DBBC6-1A16-48E8-97D3-8D0CFF208004}" name="8" dataDxfId="0">
      <calculatedColumnFormula>IFERROR(VLOOKUP(M5,trailRunMaleMaster[],4,FALSE),ROWS(trailRunMaleMaster[])+5)</calculatedColumnFormula>
    </tableColumn>
    <tableColumn id="11" xr3:uid="{523028A6-2FA3-4C40-9B55-544EA8A6D747}" name="Sum:" dataDxfId="190">
      <calculatedColumnFormula array="1">SUMPRODUCT(SMALL(N5:U5,ROW(INDIRECT("1:6"))))</calculatedColumnFormula>
    </tableColumn>
    <tableColumn id="12" xr3:uid="{E2B3C2CF-7913-421C-AD75-E6BB1F4353D9}" name="Samlet placering:" dataDxfId="189">
      <calculatedColumnFormula>RANK(V5,$V$5:$V$16,1)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FCFBA1-85C9-4610-93F3-AE1887BBFDC5}" name="Table8" displayName="Table8" ref="M41:W44" totalsRowShown="0">
  <autoFilter ref="M41:W44" xr:uid="{78FCFBA1-85C9-4610-93F3-AE1887BBFDC5}"/>
  <sortState xmlns:xlrd2="http://schemas.microsoft.com/office/spreadsheetml/2017/richdata2" ref="M42:W43">
    <sortCondition ref="W41:W43"/>
  </sortState>
  <tableColumns count="11">
    <tableColumn id="1" xr3:uid="{C1BEDED2-C539-4068-938D-AE6A09EE2C2F}" name="Deltager:"/>
    <tableColumn id="2" xr3:uid="{AF6B4624-DC41-41B1-A2F7-EC1580FF6275}" name="1" dataDxfId="4">
      <calculatedColumnFormula>IFERROR(VLOOKUP(M42,SwimWomenMaster[],4,FALSE),ROWS(SwimWomenMaster[])+5)</calculatedColumnFormula>
    </tableColumn>
    <tableColumn id="3" xr3:uid="{2CD2BEF8-3DE2-449C-98A5-86D8234EC609}" name="2"/>
    <tableColumn id="4" xr3:uid="{274C3E8F-7D2F-487B-9779-C46704C32F6C}" name="3" dataDxfId="188">
      <calculatedColumnFormula>IFERROR(VLOOKUP(M42,DuathlonWomenMaster[],11,FALSE),ROWS(DuathlonWomenMaster[])+5)</calculatedColumnFormula>
    </tableColumn>
    <tableColumn id="5" xr3:uid="{E28C683B-764A-4E8B-A215-7384A4F9601A}" name="4"/>
    <tableColumn id="6" xr3:uid="{16C30463-A628-4ED3-91EF-3C8D65C620AA}" name="5"/>
    <tableColumn id="7" xr3:uid="{C8A27405-A50F-4708-AFC7-3C6726A382EF}" name="6"/>
    <tableColumn id="8" xr3:uid="{7A9D7993-3DE5-4BA4-8C38-BEDD408E0967}" name="7"/>
    <tableColumn id="9" xr3:uid="{6D07A77C-6615-45B3-BAC6-3CCC13D22568}" name="8" dataDxfId="2">
      <calculatedColumnFormula>IFERROR(VLOOKUP(M42,trailRunWomenMaster[],4,FALSE),ROWS(trailRunWomenMaster[])+5)</calculatedColumnFormula>
    </tableColumn>
    <tableColumn id="11" xr3:uid="{F23AF45A-86A1-4C9B-8511-D2AB21CE031C}" name="Sum:" dataDxfId="187">
      <calculatedColumnFormula>SUM(N42:U42)</calculatedColumnFormula>
    </tableColumn>
    <tableColumn id="12" xr3:uid="{60DB4A5C-3DB9-4673-B732-3AB5B453E45D}" name="Samlet placering:" dataDxfId="186">
      <calculatedColumnFormula>RANK(V42,$V$42:$V$44,1)</calculatedColumn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17A66CF-E2C1-4E02-8408-983BD2D910D5}" name="Table10" displayName="Table10" ref="A4:K37" totalsRowShown="0">
  <autoFilter ref="A4:K37" xr:uid="{417A66CF-E2C1-4E02-8408-983BD2D910D5}"/>
  <sortState xmlns:xlrd2="http://schemas.microsoft.com/office/spreadsheetml/2017/richdata2" ref="A5:K37">
    <sortCondition ref="K4:K37"/>
  </sortState>
  <tableColumns count="11">
    <tableColumn id="1" xr3:uid="{1609E7D4-1492-41B3-A2A2-A14A68077A0D}" name="Deltager:" dataDxfId="185"/>
    <tableColumn id="2" xr3:uid="{86ABEA70-14E7-4960-9AE0-E5834A1359CF}" name="1" dataDxfId="184">
      <calculatedColumnFormula>IFERROR(VLOOKUP(A5,SwimMale[],4,FALSE),ROWS(SwimMale[])+5)</calculatedColumnFormula>
    </tableColumn>
    <tableColumn id="3" xr3:uid="{694693C4-372B-4EA3-BD77-EA77DE7CF8CA}" name="2" dataDxfId="183">
      <calculatedColumnFormula>IFERROR(VLOOKUP(A5,RunMale[],4,FALSE),ROWS(RunMale[])+5)</calculatedColumnFormula>
    </tableColumn>
    <tableColumn id="4" xr3:uid="{13CD965A-60D4-4FBC-95C9-C9155E48A123}" name="3" dataDxfId="182">
      <calculatedColumnFormula>IFERROR(VLOOKUP(A5,DuathlonMale[],11,FALSE),ROWS(DuathlonMale[])+5)</calculatedColumnFormula>
    </tableColumn>
    <tableColumn id="5" xr3:uid="{7590CEF5-A358-4201-9EEE-42F6CD49C677}" name="4" dataDxfId="181">
      <calculatedColumnFormula>IFERROR(VLOOKUP(A5,OpenWaterMale[],4,FALSE),ROWS(OpenWaterMale[])+5)</calculatedColumnFormula>
    </tableColumn>
    <tableColumn id="6" xr3:uid="{C35E8C05-ADED-49E0-A113-36AB3851AE82}" name="5" dataDxfId="180">
      <calculatedColumnFormula>IFERROR(VLOOKUP(A5,TriathlonMale[],18,FALSE),ROWS(TriathlonMale[])+5)</calculatedColumnFormula>
    </tableColumn>
    <tableColumn id="7" xr3:uid="{05126F39-2AD5-47BF-AC61-FD2CF0664164}" name="6" dataDxfId="179">
      <calculatedColumnFormula>IFERROR(VLOOKUP(A5,TimeTrialMale[],7,FALSE),ROWS(TimeTrialMale[])+5)</calculatedColumnFormula>
    </tableColumn>
    <tableColumn id="8" xr3:uid="{0E7FA29C-1DD3-4038-A6BB-085C026D5804}" name="7" dataDxfId="178">
      <calculatedColumnFormula>IFERROR(VLOOKUP(A5,AquatlonMale[],6,FALSE),ROWS(AquatlonMale[])+5)</calculatedColumnFormula>
    </tableColumn>
    <tableColumn id="9" xr3:uid="{1FFADF35-96D2-4304-8E5B-FC5DF4FB9F6A}" name="8" dataDxfId="1">
      <calculatedColumnFormula>IFERROR(VLOOKUP(A5,trailRunMale[],4,FALSE),ROWS(trailRunMale[])+5)</calculatedColumnFormula>
    </tableColumn>
    <tableColumn id="11" xr3:uid="{232B7E91-6328-4E75-8DBE-77DD8D6BA24E}" name="Sum:" dataDxfId="177">
      <calculatedColumnFormula array="1">SUMPRODUCT(SMALL(B5:I5,ROW(INDIRECT("1:6"))))</calculatedColumnFormula>
    </tableColumn>
    <tableColumn id="12" xr3:uid="{AC767010-C401-48EC-AD70-461096AF83CB}" name="Samlet placering:" dataDxfId="176">
      <calculatedColumnFormula>RANK(J5,$J$5:$J$37,1)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8E795DD-8877-4FA9-864E-EFD929C5E613}" name="Table9" displayName="Table9" ref="A41:K48" totalsRowShown="0">
  <autoFilter ref="A41:K48" xr:uid="{08E795DD-8877-4FA9-864E-EFD929C5E613}"/>
  <sortState xmlns:xlrd2="http://schemas.microsoft.com/office/spreadsheetml/2017/richdata2" ref="A42:K47">
    <sortCondition ref="K41:K47"/>
  </sortState>
  <tableColumns count="11">
    <tableColumn id="1" xr3:uid="{2106BE84-A19A-432C-B0FD-515C64B69397}" name="Deltager:" dataDxfId="175"/>
    <tableColumn id="2" xr3:uid="{C4B27D3B-0837-47A4-98E1-C8635890DFF5}" name="1" dataDxfId="174">
      <calculatedColumnFormula>IFERROR(VLOOKUP(A42,SwimWomen[],4,FALSE),ROWS(SwimWomen[])+5)</calculatedColumnFormula>
    </tableColumn>
    <tableColumn id="3" xr3:uid="{8EF8EDCD-F3F9-4073-AE0F-7AE289E52DCB}" name="2" dataDxfId="173">
      <calculatedColumnFormula>IFERROR(VLOOKUP(A42,RunWomen[],4,FALSE),ROWS(RunWomen[])+5)</calculatedColumnFormula>
    </tableColumn>
    <tableColumn id="4" xr3:uid="{A3115B81-ACBE-42E4-911A-1530B82E6B91}" name="3" dataDxfId="172">
      <calculatedColumnFormula>IFERROR(VLOOKUP(A42,DuathlonWomen[],11,FALSE),ROWS(DuathlonWomen[])+5)</calculatedColumnFormula>
    </tableColumn>
    <tableColumn id="5" xr3:uid="{440F24BF-E457-446F-8F1A-F5EB829645A2}" name="4" dataDxfId="171">
      <calculatedColumnFormula>IFERROR(VLOOKUP(A42,OpenWaterWomen[],4,FALSE),ROWS(OpenWaterWomen[])+5)</calculatedColumnFormula>
    </tableColumn>
    <tableColumn id="6" xr3:uid="{A6F41972-2AE7-4132-A802-93635BCB70D2}" name="5" dataDxfId="170">
      <calculatedColumnFormula>IFERROR(VLOOKUP(A42,TriathlonWomen[],18,FALSE),ROWS(TriathlonWomen[])+5)</calculatedColumnFormula>
    </tableColumn>
    <tableColumn id="7" xr3:uid="{AFFF85DB-8CC4-464F-837B-4189D71C44D8}" name="6" dataDxfId="169">
      <calculatedColumnFormula>IFERROR(VLOOKUP(A42,AquatlonFemale[],6,FALSE),ROWS(AquatlonFemale[])+5)</calculatedColumnFormula>
    </tableColumn>
    <tableColumn id="8" xr3:uid="{930A8641-9165-4742-B70E-0D4FDE52EA80}" name="7" dataDxfId="168">
      <calculatedColumnFormula>IFERROR(VLOOKUP(A42,AquatlonFemale[],6,FALSE),ROWS(AquatlonFemale[])+5)</calculatedColumnFormula>
    </tableColumn>
    <tableColumn id="9" xr3:uid="{D0FDC845-8EE7-4719-ADE7-3DDA4C3F3570}" name="8" dataDxfId="3">
      <calculatedColumnFormula>IFERROR(VLOOKUP(A42,trailRunWomen[],4,FALSE),ROWS(trailRunWomen[])+5)</calculatedColumnFormula>
    </tableColumn>
    <tableColumn id="11" xr3:uid="{AF0FD657-3F43-4961-A6EB-CE1151571B6C}" name="Sum:" dataDxfId="167">
      <calculatedColumnFormula array="1">SUMPRODUCT(SMALL(B42:I42,ROW(INDIRECT("1:6"))))</calculatedColumnFormula>
    </tableColumn>
    <tableColumn id="12" xr3:uid="{2F9FB77F-F594-4FAD-82D8-EDA1E3DB0E28}" name="Samlet placering:" dataDxfId="166">
      <calculatedColumnFormula>RANK(J42,$J$42:$J$48,1)</calculatedColumnFormula>
    </tableColumn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499A56-5A2C-4F0E-9939-A8F6B62135E1}" name="SwimMale" displayName="SwimMale" ref="A3:D24" totalsRowShown="0">
  <autoFilter ref="A3:D24" xr:uid="{CE499A56-5A2C-4F0E-9939-A8F6B62135E1}"/>
  <sortState xmlns:xlrd2="http://schemas.microsoft.com/office/spreadsheetml/2017/richdata2" ref="A4:D24">
    <sortCondition ref="B3:B24"/>
  </sortState>
  <tableColumns count="4">
    <tableColumn id="1" xr3:uid="{C6932911-801F-4FFB-B8BB-034108DBE757}" name="Deltager:"/>
    <tableColumn id="2" xr3:uid="{1A627174-DFDC-4CAF-917B-655F53D6F523}" name="Tid:" dataDxfId="165"/>
    <tableColumn id="3" xr3:uid="{7215F52B-3484-4D11-838B-41092CF96A83}" name="100m pace:" dataDxfId="164">
      <calculatedColumnFormula>B4/5</calculatedColumnFormula>
    </tableColumn>
    <tableColumn id="4" xr3:uid="{5011BAD4-C711-4768-BBA2-8ECC8DB092EA}" name="Point samlet:" dataDxfId="163">
      <calculatedColumnFormula>RANK(B4,$B$4:$B$24,1)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4EF8DF-8E74-4DB0-A234-ED6B4CDA2AB9}" name="SwimMaleMaster" displayName="SwimMaleMaster" ref="F3:I10" totalsRowShown="0" headerRowDxfId="162" tableBorderDxfId="161">
  <autoFilter ref="F3:I10" xr:uid="{F14EF8DF-8E74-4DB0-A234-ED6B4CDA2AB9}"/>
  <tableColumns count="4">
    <tableColumn id="1" xr3:uid="{56A62E88-A966-4135-808A-716D3B290597}" name="Deltager:" dataDxfId="160"/>
    <tableColumn id="2" xr3:uid="{FB04DF36-90E8-4D8F-80AC-62E461685D6D}" name="Tid:" dataDxfId="159"/>
    <tableColumn id="3" xr3:uid="{9364EE19-FB5E-48ED-B90A-5F8893760B8C}" name="100m pace:" dataDxfId="158">
      <calculatedColumnFormula>G4/5</calculatedColumnFormula>
    </tableColumn>
    <tableColumn id="4" xr3:uid="{A8E9FBE7-15C0-4034-8C1E-6EF287AD60DC}" name="Point masters:">
      <calculatedColumnFormula>RANK(G4,$G$4:$G$10,1)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42486F-633D-4224-B8E3-205302166AD4}" name="SwimWomen" displayName="SwimWomen" ref="A27:D32" totalsRowShown="0">
  <autoFilter ref="A27:D32" xr:uid="{AE42486F-633D-4224-B8E3-205302166AD4}"/>
  <sortState xmlns:xlrd2="http://schemas.microsoft.com/office/spreadsheetml/2017/richdata2" ref="A28:D32">
    <sortCondition ref="D27:D32"/>
  </sortState>
  <tableColumns count="4">
    <tableColumn id="1" xr3:uid="{355A664C-00B4-45B7-952C-01F82175E793}" name="Deltager:"/>
    <tableColumn id="2" xr3:uid="{047913BF-50EC-441B-B399-1138604A88BE}" name="Tid:" dataDxfId="157"/>
    <tableColumn id="3" xr3:uid="{95F174F1-B9F7-4C33-8E5C-64F0900AB637}" name="100m pace:" dataDxfId="156">
      <calculatedColumnFormula>B28/5</calculatedColumnFormula>
    </tableColumn>
    <tableColumn id="4" xr3:uid="{93D74F11-A308-46D2-BE89-7A84EE159A18}" name="Point samlet:" dataDxfId="155">
      <calculatedColumnFormula>RANK(B28,$B$28:$B$32,1)</calculatedColumn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53BD26-BD7F-4E7B-95F4-BF7ABD79C3A8}" name="SwimWomenMaster" displayName="SwimWomenMaster" ref="F27:I29" totalsRowShown="0" tableBorderDxfId="154">
  <autoFilter ref="F27:I29" xr:uid="{8A53BD26-BD7F-4E7B-95F4-BF7ABD79C3A8}"/>
  <tableColumns count="4">
    <tableColumn id="1" xr3:uid="{4E65F779-A74F-444A-925A-D0BF47BD8295}" name="Deltager:"/>
    <tableColumn id="2" xr3:uid="{E84E511E-0AA2-4DC9-9E08-50BB0964C73B}" name="Tid:" dataDxfId="153"/>
    <tableColumn id="3" xr3:uid="{8A76B279-C158-43D2-A2C3-6AAD4C8BFE03}" name="100m pace:" dataDxfId="152">
      <calculatedColumnFormula>G28/5</calculatedColumnFormula>
    </tableColumn>
    <tableColumn id="4" xr3:uid="{35D1263A-4456-4124-A160-74983AB44907}" name="Point masters:">
      <calculatedColumnFormula>RANK(G28,$G$28:$G$29,1)</calculatedColumnFormula>
    </tableColumn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759DBF-FE61-472E-817A-CEA9A1B0350A}" name="RunMale" displayName="RunMale" ref="A3:D22" totalsRowShown="0" headerRowDxfId="151" headerRowBorderDxfId="150">
  <autoFilter ref="A3:D22" xr:uid="{88759DBF-FE61-472E-817A-CEA9A1B0350A}"/>
  <tableColumns count="4">
    <tableColumn id="1" xr3:uid="{55819B28-9B03-4DFC-9E90-48FD7B6713C1}" name="Deltager:"/>
    <tableColumn id="2" xr3:uid="{40C39D46-E4C4-40BD-BD57-9D7560EADD68}" name="Tid:" dataDxfId="149"/>
    <tableColumn id="3" xr3:uid="{0BF46837-745C-4CCA-9813-F5539FB874E8}" name="Pace (min/km):" dataDxfId="148">
      <calculatedColumnFormula>B4/5</calculatedColumnFormula>
    </tableColumn>
    <tableColumn id="4" xr3:uid="{585FA43E-861B-4491-A502-ED31D4E4F88D}" name="Point samlet:" dataDxfId="147">
      <calculatedColumnFormula>RANK(B4,$B$4:$B$22,1)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5D65D6-8D24-457A-BC04-EED84D213881}" name="RunMaleMaster" displayName="RunMaleMaster" ref="F3:I10" totalsRowShown="0" headerRowDxfId="146" headerRowBorderDxfId="145">
  <autoFilter ref="F3:I10" xr:uid="{BB5D65D6-8D24-457A-BC04-EED84D213881}"/>
  <tableColumns count="4">
    <tableColumn id="1" xr3:uid="{047EC9A2-634C-40ED-8FB6-584463FCE260}" name="Deltager:"/>
    <tableColumn id="2" xr3:uid="{BD9AE89C-5B15-4D82-8996-C95C03853BB4}" name="Tid:" dataDxfId="144"/>
    <tableColumn id="3" xr3:uid="{7D03874F-95E4-4F51-BAB9-768443DFCA6B}" name="Pace (min/km):" dataDxfId="143">
      <calculatedColumnFormula>G4/5</calculatedColumnFormula>
    </tableColumn>
    <tableColumn id="4" xr3:uid="{0E34E873-6182-4012-BEB1-57F6B74BC763}" name="Point masters:" dataDxfId="142">
      <calculatedColumnFormula>RANK(G4,$G$4:$G$10,1)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08242CD-AE68-4EDC-B5EB-384D886BDFEE}" name="RunWomen" displayName="RunWomen" ref="A26:D28" totalsRowShown="0">
  <autoFilter ref="A26:D28" xr:uid="{508242CD-AE68-4EDC-B5EB-384D886BDFEE}"/>
  <tableColumns count="4">
    <tableColumn id="1" xr3:uid="{EC4809AE-652E-4619-8263-047582258ACD}" name="Deltager:"/>
    <tableColumn id="2" xr3:uid="{8DA3E826-A76A-4E16-B1F8-60AE52CFA878}" name="Tid:" dataDxfId="141"/>
    <tableColumn id="3" xr3:uid="{46D50B82-062C-4FA4-A581-0707FF6A32FB}" name="Pace (min/km):" dataDxfId="140">
      <calculatedColumnFormula>B27/5</calculatedColumnFormula>
    </tableColumn>
    <tableColumn id="4" xr3:uid="{135927BB-56D6-4566-9AEB-8A0E62819AB2}" name="Point samlet:" dataDxfId="139">
      <calculatedColumnFormula>RANK(B27,$B$27:$B$28,1)</calculatedColumnFormula>
    </tableColumn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F5354D2-BA87-4E4A-A7E6-5C4CB9DBEA63}" name="RunWomenMaster" displayName="RunWomenMaster" ref="F26:I27" insertRow="1" totalsRowShown="0" headerRowDxfId="138" headerRowBorderDxfId="137">
  <autoFilter ref="F26:I27" xr:uid="{EF5354D2-BA87-4E4A-A7E6-5C4CB9DBEA63}"/>
  <tableColumns count="4">
    <tableColumn id="1" xr3:uid="{AF0EFDA6-BEDB-4DD2-9DCD-2FDB2DB7031E}" name="Deltager:"/>
    <tableColumn id="2" xr3:uid="{3235061A-CC0E-4567-9AFF-F91AA49110CF}" name="Tid:"/>
    <tableColumn id="3" xr3:uid="{9E393CAD-7F73-4C02-B7EA-8109B230F296}" name="Pace (min/km):"/>
    <tableColumn id="4" xr3:uid="{89F9A191-D520-481A-B247-21C17065835F}" name="Point samlet:"/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0ECE12-4C49-4C15-ADBF-ECFB5A7965A6}" name="DuathlonMale" displayName="DuathlonMale" ref="A3:K15" totalsRowShown="0">
  <autoFilter ref="A3:K15" xr:uid="{880ECE12-4C49-4C15-ADBF-ECFB5A7965A6}"/>
  <tableColumns count="11">
    <tableColumn id="1" xr3:uid="{EDFEE52F-5ECD-4F01-9D03-465F863DA1D5}" name="Deltager:"/>
    <tableColumn id="2" xr3:uid="{447D2156-BFBC-46DA-973C-B4FB2421361E}" name="Løb 1:" dataDxfId="136"/>
    <tableColumn id="3" xr3:uid="{35C28B96-FC38-4103-BC8D-717B97486017}" name="Pace:" dataDxfId="135">
      <calculatedColumnFormula>B4/4.94</calculatedColumnFormula>
    </tableColumn>
    <tableColumn id="4" xr3:uid="{F152FE45-51A5-4B00-A983-55785FF8A232}" name="T1:" dataDxfId="134"/>
    <tableColumn id="5" xr3:uid="{9D3DA50C-24C3-4D46-810E-AA162D6C5500}" name="Cykel:" dataDxfId="133"/>
    <tableColumn id="6" xr3:uid="{5C614A5B-FD88-4295-891F-FBDEADFC5A65}" name="Pace:2" dataDxfId="132">
      <calculatedColumnFormula>E4/18.8</calculatedColumnFormula>
    </tableColumn>
    <tableColumn id="7" xr3:uid="{4F05DAFA-CE12-4957-AB1B-1CF4E748206B}" name="T2:" dataDxfId="131"/>
    <tableColumn id="8" xr3:uid="{4F0B3D0A-99A9-49AD-B68A-DE18E7E2B5FC}" name="Løb 2:" dataDxfId="130"/>
    <tableColumn id="9" xr3:uid="{F94E6211-D4B2-4FBE-8F11-6BEA168491AE}" name="Pace:3" dataDxfId="129">
      <calculatedColumnFormula>H4/4.94</calculatedColumnFormula>
    </tableColumn>
    <tableColumn id="10" xr3:uid="{C80E96D8-DE68-46D7-8A8A-B4843760A220}" name="Samlet tid:" dataDxfId="128"/>
    <tableColumn id="11" xr3:uid="{44E359A6-6910-4ED3-B07E-8644DABE2CFE}" name="Placering:" dataDxfId="127">
      <calculatedColumnFormula>IF(J4="DNF",COUNT($J$4:$J$15)+1,RANK(J4,$J$4:$J$15,1))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4C62349-4111-4586-879B-4E57F84EFA02}" name="DuathlonWomen" displayName="DuathlonWomen" ref="A18:K20" totalsRowShown="0">
  <autoFilter ref="A18:K20" xr:uid="{A4C62349-4111-4586-879B-4E57F84EFA02}"/>
  <tableColumns count="11">
    <tableColumn id="1" xr3:uid="{A59A0FE5-6D38-4ED6-A7DA-CE9D43CF981B}" name="Deltager:"/>
    <tableColumn id="2" xr3:uid="{7C3699AF-698F-4F6B-B78B-F1F3C45E0255}" name="Løb 1:" dataDxfId="126"/>
    <tableColumn id="3" xr3:uid="{CCF9FA47-E14B-469F-B420-8A91448C101D}" name="Pace:" dataDxfId="125">
      <calculatedColumnFormula>B19/2.29</calculatedColumnFormula>
    </tableColumn>
    <tableColumn id="4" xr3:uid="{A77AE705-E134-400C-920C-48192A8F1513}" name="T1:" dataDxfId="124"/>
    <tableColumn id="5" xr3:uid="{31AD2CD7-DC92-409E-BFC5-73DD2AD4C9E0}" name="Cykel:" dataDxfId="123"/>
    <tableColumn id="6" xr3:uid="{4C280A6E-BED0-4DA5-8212-410A188B9DE1}" name="Pace:2" dataDxfId="122">
      <calculatedColumnFormula>E19/18.8</calculatedColumnFormula>
    </tableColumn>
    <tableColumn id="7" xr3:uid="{C0BDEF13-F345-4F54-8783-E6A9455A2990}" name="T2:" dataDxfId="121"/>
    <tableColumn id="8" xr3:uid="{F9B83964-B71B-48F0-BF73-8DFEF87A739E}" name="Løb 2:" dataDxfId="120"/>
    <tableColumn id="9" xr3:uid="{CB17A4F6-BDBC-4C14-99FC-4CDAF861BA50}" name="Pace:3" dataDxfId="119">
      <calculatedColumnFormula>H19/2.29</calculatedColumnFormula>
    </tableColumn>
    <tableColumn id="10" xr3:uid="{77A6A5DD-9309-45B6-971C-A720B379C640}" name="Samlet tid:" dataDxfId="118">
      <calculatedColumnFormula>B19+D19+E19+G19+H19</calculatedColumnFormula>
    </tableColumn>
    <tableColumn id="11" xr3:uid="{644B81AB-DE38-455A-A80C-EDB8E023BB95}" name="Placering:">
      <calculatedColumnFormula>RANK(J19,$J$19:$J$20,1)</calculatedColumnFormula>
    </tableColumn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3187F6B-D157-4EC2-A423-A2DC23FA7173}" name="DuathlonWomenMaster" displayName="DuathlonWomenMaster" ref="N18:X19" totalsRowShown="0">
  <autoFilter ref="N18:X19" xr:uid="{F3187F6B-D157-4EC2-A423-A2DC23FA7173}"/>
  <tableColumns count="11">
    <tableColumn id="1" xr3:uid="{CC08D4BE-249F-4C29-A2A5-F45DEC99924A}" name="Deltager:"/>
    <tableColumn id="2" xr3:uid="{097E00A3-9AFD-4277-B61C-D335479C599C}" name="Løb 1:" dataDxfId="117"/>
    <tableColumn id="3" xr3:uid="{73DBCCC9-3C3E-4067-BF10-5DE27939A550}" name="Pace:" dataDxfId="116">
      <calculatedColumnFormula>O19/2.29</calculatedColumnFormula>
    </tableColumn>
    <tableColumn id="4" xr3:uid="{1007498C-689A-46B5-91A0-BAE7A248E82E}" name="T1:" dataDxfId="115"/>
    <tableColumn id="5" xr3:uid="{E8B9A240-F394-4FD2-91DA-3923D017A6A6}" name="Cykel:" dataDxfId="114"/>
    <tableColumn id="6" xr3:uid="{D7DD4BFB-AFA8-4587-A044-4D8E9DAD2CFD}" name="Pace:2" dataDxfId="113">
      <calculatedColumnFormula>R19/18.8</calculatedColumnFormula>
    </tableColumn>
    <tableColumn id="7" xr3:uid="{61401F6B-1674-45F7-B39A-7AA6A12CC2D1}" name="T2:" dataDxfId="112"/>
    <tableColumn id="8" xr3:uid="{3558F89D-2CD4-4AD8-89A6-0C42FB1DD7D4}" name="Løb 2:" dataDxfId="111"/>
    <tableColumn id="9" xr3:uid="{64CE9400-40BA-4BCA-9B79-DB22974B7225}" name="Pace:3" dataDxfId="110">
      <calculatedColumnFormula>U19/2.29</calculatedColumnFormula>
    </tableColumn>
    <tableColumn id="10" xr3:uid="{BF1DAA84-192C-4A9D-B13D-3819AF85BA86}" name="Samlet tid:" dataDxfId="109">
      <calculatedColumnFormula>O19+Q19+R19+T19+U19</calculatedColumnFormula>
    </tableColumn>
    <tableColumn id="11" xr3:uid="{C98E4EFD-2845-411F-A29C-29FC3F0000B5}" name="Placering:">
      <calculatedColumnFormula>RANK(W19,$W$19:$W$20,1)</calculatedColumnFormula>
    </tableColumn>
  </tableColumns>
  <tableStyleInfo name="TableStyleMedium1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C0DD2C-59D4-4B6C-8623-C530920EB8EC}" name="DuathlonMaleMaster" displayName="DuathlonMaleMaster" ref="N3:X6" totalsRowShown="0">
  <autoFilter ref="N3:X6" xr:uid="{C5C0DD2C-59D4-4B6C-8623-C530920EB8EC}"/>
  <tableColumns count="11">
    <tableColumn id="1" xr3:uid="{98162C6A-C3A8-4795-9B99-AF27A6D0DDD9}" name="Deltager:"/>
    <tableColumn id="2" xr3:uid="{A73A06EA-4CA9-444C-96EE-A0E196C374AD}" name="Løb 1:" dataDxfId="108"/>
    <tableColumn id="3" xr3:uid="{DB24FC38-D530-4B24-B3A3-FC149B9F6224}" name="Pace:" dataDxfId="107"/>
    <tableColumn id="4" xr3:uid="{3A2C4019-37AB-4E63-A0C5-5D997EC9E1A2}" name="T1:" dataDxfId="106"/>
    <tableColumn id="5" xr3:uid="{CC937736-46BD-4B90-8300-7A874CC6D180}" name="Cykel:" dataDxfId="105"/>
    <tableColumn id="6" xr3:uid="{8B207F58-3493-4067-BBB8-18D7753B0244}" name="Pace:2" dataDxfId="104"/>
    <tableColumn id="7" xr3:uid="{4AEE6AE7-D53E-4BAE-A5E0-6BDE806FBFF5}" name="T2:" dataDxfId="103"/>
    <tableColumn id="8" xr3:uid="{DEDD0671-2045-4F5C-89C5-2B6595A2FE70}" name="Løb 2:" dataDxfId="102"/>
    <tableColumn id="9" xr3:uid="{F4001FC9-799B-4F76-BA2B-C9FE41D35AE6}" name="Pace:3" dataDxfId="101"/>
    <tableColumn id="10" xr3:uid="{446D55DD-2166-4A7A-BFC1-9CDA5D6068A5}" name="Samlet tid:" dataDxfId="100"/>
    <tableColumn id="11" xr3:uid="{54549F5C-8B4D-4789-A60F-6CA89EF56DFC}" name="Placering:">
      <calculatedColumnFormula>RANK(W4,$W$4:$W$6,1)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2F9D31A-54BF-4B9C-AB9A-389E6EC67EAE}" name="OpenWaterMale" displayName="OpenWaterMale" ref="A3:D26" totalsRowShown="0">
  <autoFilter ref="A3:D26" xr:uid="{32F9D31A-54BF-4B9C-AB9A-389E6EC67EAE}"/>
  <tableColumns count="4">
    <tableColumn id="1" xr3:uid="{03653A2B-558A-4B02-B264-6B7572E64934}" name="Deltager:"/>
    <tableColumn id="2" xr3:uid="{010D0300-DB66-459A-8433-BA9C548E17D2}" name="Tid:" dataDxfId="99"/>
    <tableColumn id="3" xr3:uid="{EEF8DCEE-7458-4BE5-81D1-5E17A15FB964}" name="100m pace:" dataDxfId="98">
      <calculatedColumnFormula>B4/6</calculatedColumnFormula>
    </tableColumn>
    <tableColumn id="4" xr3:uid="{08A51433-FD4F-442E-93C7-DD4D78B76FD2}" name="Point samlet:">
      <calculatedColumnFormula>RANK(B4,$B$4:$B$26,1)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87D7348-597D-4014-B421-835FDB4A9CD5}" name="OpenWaterMaleMaster" displayName="OpenWaterMaleMaster" ref="F3:I9" totalsRowShown="0" headerRowDxfId="97" tableBorderDxfId="96">
  <autoFilter ref="F3:I9" xr:uid="{C87D7348-597D-4014-B421-835FDB4A9CD5}"/>
  <tableColumns count="4">
    <tableColumn id="1" xr3:uid="{F97DFA34-5085-4DAB-9A83-29F8406A8913}" name="Deltager:"/>
    <tableColumn id="2" xr3:uid="{A913DF03-0603-48F8-87B1-4615CABC3FA0}" name="Tid:" dataDxfId="95"/>
    <tableColumn id="3" xr3:uid="{EDD9EB1B-2E89-4708-B616-8627CC7E6896}" name="100m pace:" dataDxfId="94">
      <calculatedColumnFormula>G4/6</calculatedColumnFormula>
    </tableColumn>
    <tableColumn id="4" xr3:uid="{FFEA861B-8C06-4838-BE41-296B862FE346}" name="Point masters:" dataDxfId="93">
      <calculatedColumnFormula>RANK(G4,$G$4:$G$9,1)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003A107-73CC-4EDF-BE64-89FCE17E5EA4}" name="OpenWaterWomen" displayName="OpenWaterWomen" ref="A29:D33" totalsRowShown="0" headerRowDxfId="92">
  <autoFilter ref="A29:D33" xr:uid="{3003A107-73CC-4EDF-BE64-89FCE17E5EA4}"/>
  <tableColumns count="4">
    <tableColumn id="1" xr3:uid="{03B13DD4-BDA7-4512-81B7-E8DD61A8D6AE}" name="Deltager:"/>
    <tableColumn id="2" xr3:uid="{4F4F75B5-FD72-4510-AF8C-055ADAC2EE04}" name="Tid:" dataDxfId="91"/>
    <tableColumn id="3" xr3:uid="{9006CDE5-483A-48FD-B09A-33935B72539C}" name="100m pace:" dataDxfId="90">
      <calculatedColumnFormula>B30/6</calculatedColumnFormula>
    </tableColumn>
    <tableColumn id="4" xr3:uid="{B20132A6-DF70-46CF-AB87-97FF8FA47BCD}" name="Point samlet:" dataDxfId="89">
      <calculatedColumnFormula>RANK(B30,$B$30:$B$32,1)</calculatedColumnFormula>
    </tableColumn>
  </tableColumns>
  <tableStyleInfo name="TableStyleMedium1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D3D3948-2CAB-4405-AB4C-99F1C6B98E3E}" name="OpenWaterWomenMaster" displayName="OpenWaterWomenMaster" ref="F29:I30" insertRow="1" totalsRowShown="0">
  <autoFilter ref="F29:I30" xr:uid="{9D3D3948-2CAB-4405-AB4C-99F1C6B98E3E}"/>
  <tableColumns count="4">
    <tableColumn id="1" xr3:uid="{77E45FC5-8327-4C70-8C50-D29FB1DC196E}" name="Deltager:"/>
    <tableColumn id="2" xr3:uid="{09816968-597F-42CF-A660-4089BB371B3B}" name="Tid:"/>
    <tableColumn id="3" xr3:uid="{C78B310A-256D-4AC5-B6EE-0A8FA80EC294}" name="100m pace:"/>
    <tableColumn id="4" xr3:uid="{AF2680DE-4ACB-400F-8C2F-7983D5D600C3}" name="Point masters:"/>
  </tableColumns>
  <tableStyleInfo name="TableStyleMedium1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57C8502-A7FF-44A3-A289-46BCAFB168DA}" name="TriathlonMale" displayName="TriathlonMale" ref="A5:R14" totalsRowShown="0">
  <autoFilter ref="A5:R14" xr:uid="{257C8502-A7FF-44A3-A289-46BCAFB168DA}"/>
  <tableColumns count="18">
    <tableColumn id="1" xr3:uid="{8FBFC0E7-0543-432D-B21C-7010A1876FBB}" name="Deltager:"/>
    <tableColumn id="2" xr3:uid="{ABA056E9-14B8-4967-8267-B63819B9E275}" name="Svømmetid:" dataDxfId="88"/>
    <tableColumn id="3" xr3:uid="{75D67865-61A9-4C68-A9BF-0C38757F1621}" name="Cykeltid:" dataDxfId="87"/>
    <tableColumn id="4" xr3:uid="{BB598F1F-3451-4733-8C7F-A97444D418E3}" name="Løbetid:" dataDxfId="86"/>
    <tableColumn id="5" xr3:uid="{9C409456-E1D5-4D4B-B29D-85F262F3F9CA}" name="Samlettid:" dataDxfId="85">
      <calculatedColumnFormula>SUM(B6:D6)</calculatedColumnFormula>
    </tableColumn>
    <tableColumn id="6" xr3:uid="{A294D6C0-11AC-420D-9625-4F05E4F2A2C3}" name="Runde placering:">
      <calculatedColumnFormula>RANK(E6,$E$6:$E$14,1)</calculatedColumnFormula>
    </tableColumn>
    <tableColumn id="7" xr3:uid="{62A64D9B-0E53-4664-9ADC-89276ECC827A}" name="Cykeltid:2" dataDxfId="84"/>
    <tableColumn id="8" xr3:uid="{1B10BB34-7B7A-4B5A-8397-C187439D65EA}" name="Svømmetid:3" dataDxfId="83"/>
    <tableColumn id="9" xr3:uid="{746CE159-B1E9-4261-A45D-01C1A681725D}" name="Løbetid:4" dataDxfId="82"/>
    <tableColumn id="10" xr3:uid="{DD5E9562-9251-4F56-B8BF-0B35FD522FD2}" name="Samlettid:5" dataDxfId="81">
      <calculatedColumnFormula>SUM(G6:I6)</calculatedColumnFormula>
    </tableColumn>
    <tableColumn id="11" xr3:uid="{122CFC68-D553-458F-95AD-587294149EA2}" name="Runde placering:6">
      <calculatedColumnFormula>RANK(J6,$J$6:$J$14,1)</calculatedColumnFormula>
    </tableColumn>
    <tableColumn id="12" xr3:uid="{07453ABA-3B23-450B-800D-B71D70E6F2E6}" name="Løbetid:7" dataDxfId="80"/>
    <tableColumn id="13" xr3:uid="{BB803173-4064-4D65-8E34-3E4459B0DACB}" name="Cykeltid:8" dataDxfId="79"/>
    <tableColumn id="14" xr3:uid="{66816932-5546-4CD2-A04B-8F72E67B6B99}" name="Svømmetid:9" dataDxfId="78"/>
    <tableColumn id="15" xr3:uid="{82F9E8B8-442A-4E15-BE36-0D3B46666883}" name="Samlettid:10" dataDxfId="77">
      <calculatedColumnFormula>SUM(L6:N6)</calculatedColumnFormula>
    </tableColumn>
    <tableColumn id="16" xr3:uid="{D59702E2-0DDA-4A1D-8541-5744FD4EFAEC}" name="Runde placering:11">
      <calculatedColumnFormula>RANK(O6,$O$6:$O$14,1)</calculatedColumnFormula>
    </tableColumn>
    <tableColumn id="17" xr3:uid="{2F50BE88-58AC-4FB7-8C9D-BAC374B2848C}" name="Samlet tid:" dataDxfId="76">
      <calculatedColumnFormula>SUM(E6,J6,O6)</calculatedColumnFormula>
    </tableColumn>
    <tableColumn id="18" xr3:uid="{9850EFB5-545F-4B4D-B254-DE08B073FC8C}" name="Samlet placering:">
      <calculatedColumnFormula>RANK(Q6,$Q$6:$Q$14,1)</calculatedColumn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406BD87-4F58-4009-B667-BE16FF1DCEFE}" name="TriathlonMaleMasters" displayName="TriathlonMaleMasters" ref="A19:R21" totalsRowShown="0">
  <autoFilter ref="A19:R21" xr:uid="{3406BD87-4F58-4009-B667-BE16FF1DCEFE}"/>
  <tableColumns count="18">
    <tableColumn id="1" xr3:uid="{841154BA-A425-4DBA-93B4-8A85B66B287E}" name="Deltager:"/>
    <tableColumn id="2" xr3:uid="{6F3E85AF-EF85-42AE-B1B4-817C005C8CAB}" name="Svømmetid:" dataDxfId="75"/>
    <tableColumn id="3" xr3:uid="{BF433059-2ABA-45F1-9741-F32368C2ED7B}" name="Cykeltid:" dataDxfId="74"/>
    <tableColumn id="4" xr3:uid="{ADF6A43D-4D83-4114-A8DB-86F4D0E94E1F}" name="Løbetid:" dataDxfId="73"/>
    <tableColumn id="5" xr3:uid="{0F54A093-B441-4135-A7A0-D26558E78099}" name="Samlettid:" dataDxfId="72">
      <calculatedColumnFormula>SUM(B20:D20)</calculatedColumnFormula>
    </tableColumn>
    <tableColumn id="6" xr3:uid="{1D6B383D-863C-4FEE-918E-BEB4C14D1E23}" name="Runde placering:" dataDxfId="71">
      <calculatedColumnFormula>RANK(E20,$E$20:$E$21,1)</calculatedColumnFormula>
    </tableColumn>
    <tableColumn id="7" xr3:uid="{AF5DA8C4-9E51-41A8-A896-5921A96C79A5}" name="Cykeltid:2" dataDxfId="70"/>
    <tableColumn id="8" xr3:uid="{8229C43B-AFD7-4DB0-86B6-B8A7B73423FA}" name="Svømmetid:3" dataDxfId="69"/>
    <tableColumn id="9" xr3:uid="{5F4B4656-B3DE-48A5-98B3-A1B971A8EE9B}" name="Løbetid:4" dataDxfId="68"/>
    <tableColumn id="10" xr3:uid="{2992D3EF-454E-4A96-884B-39E9D9B47116}" name="Samlettid:5" dataDxfId="67">
      <calculatedColumnFormula>SUM(G20:I20)</calculatedColumnFormula>
    </tableColumn>
    <tableColumn id="11" xr3:uid="{52179C71-E823-4070-924D-882871C1BB49}" name="Runde placering:6" dataDxfId="66">
      <calculatedColumnFormula>RANK(J20,$J$20:$J$21,1)</calculatedColumnFormula>
    </tableColumn>
    <tableColumn id="12" xr3:uid="{AA5CE7C5-B352-4B9D-A0A8-FDB7DEB058A9}" name="Løbetid:7" dataDxfId="65"/>
    <tableColumn id="13" xr3:uid="{73D78018-2B2B-4535-836D-3BFD504C1C8C}" name="Cykeltid:8" dataDxfId="64"/>
    <tableColumn id="14" xr3:uid="{56382434-5826-4676-84E3-F9A1DD755D06}" name="Svømmetid:9" dataDxfId="63"/>
    <tableColumn id="15" xr3:uid="{F44464A2-40BE-4ABD-865A-8BDBCEA643B6}" name="Samlettid:10" dataDxfId="62">
      <calculatedColumnFormula>SUM(L20:N20)</calculatedColumnFormula>
    </tableColumn>
    <tableColumn id="16" xr3:uid="{3F12DBA3-8A9C-47C5-9A40-09D73976CFAC}" name="Runde placering:11" dataDxfId="61">
      <calculatedColumnFormula>RANK(O20,$O$20:$O$21,1)</calculatedColumnFormula>
    </tableColumn>
    <tableColumn id="17" xr3:uid="{400E1939-037B-442A-BF09-CB5DAA6FD53A}" name="Samlet tid:" dataDxfId="60">
      <calculatedColumnFormula>SUM(E20,J20,O20)</calculatedColumnFormula>
    </tableColumn>
    <tableColumn id="18" xr3:uid="{4E51A4A1-55F8-4DCB-BE28-04EF0B358881}" name="Samlet placering:">
      <calculatedColumnFormula>RANK(Q20,$Q$20:$Q$21,1)</calculatedColumnFormula>
    </tableColumn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3183620-A667-4C08-8CAE-03BA4EABEA0F}" name="TriathlonWomen" displayName="TriathlonWomen" ref="A26:R28" totalsRowShown="0">
  <autoFilter ref="A26:R28" xr:uid="{03183620-A667-4C08-8CAE-03BA4EABEA0F}"/>
  <tableColumns count="18">
    <tableColumn id="1" xr3:uid="{CD82D69F-95F4-4472-A51B-0AAE49AB7F34}" name="Deltager:"/>
    <tableColumn id="2" xr3:uid="{A682723B-9F42-4358-AC0E-BB2CFC21AA73}" name="Svømmetid:" dataDxfId="59"/>
    <tableColumn id="3" xr3:uid="{2A638279-2359-415A-B9E2-03545238EB9D}" name="Cykeltid:" dataDxfId="58"/>
    <tableColumn id="4" xr3:uid="{973A04B5-03E6-4DF9-80B0-4A24B1197677}" name="Løbetid:" dataDxfId="57"/>
    <tableColumn id="5" xr3:uid="{B10D0299-B527-4A2F-BEDD-DEFA1C4E3F92}" name="Samlettid:" dataDxfId="56">
      <calculatedColumnFormula>SUM(B27:D27)</calculatedColumnFormula>
    </tableColumn>
    <tableColumn id="6" xr3:uid="{88AECAAE-506B-4679-ACF6-4D249E1B6294}" name="Runde placering:">
      <calculatedColumnFormula>RANK(E27,$E$27:$E$28,1)</calculatedColumnFormula>
    </tableColumn>
    <tableColumn id="7" xr3:uid="{F9CCA20F-F4B2-4CE8-8361-7206ADCA4DB3}" name="Cykeltid:2" dataDxfId="55"/>
    <tableColumn id="8" xr3:uid="{E4E6DD77-062D-4C67-A587-ED967FB301C7}" name="Svømmetid:3" dataDxfId="54"/>
    <tableColumn id="9" xr3:uid="{3D5447A2-6972-41E4-A062-A65C554A9A5A}" name="Løbetid:4" dataDxfId="53"/>
    <tableColumn id="10" xr3:uid="{EF6AD1F7-5E5D-4381-92A6-3060253C768B}" name="Samlettid:5" dataDxfId="52">
      <calculatedColumnFormula>SUM(G27:I27)</calculatedColumnFormula>
    </tableColumn>
    <tableColumn id="11" xr3:uid="{5F8417FE-EA37-4F40-BEA6-8683114D2B7A}" name="Runde placering:6">
      <calculatedColumnFormula>RANK(J27,$J$27:$J$28,1)</calculatedColumnFormula>
    </tableColumn>
    <tableColumn id="12" xr3:uid="{194B20A8-101B-4B3C-9B5B-8134DABB01DA}" name="Løbetid:7" dataDxfId="51"/>
    <tableColumn id="13" xr3:uid="{2D79EF67-33D5-484E-B81C-F95BEE1C54FE}" name="Cykeltid:8" dataDxfId="50"/>
    <tableColumn id="14" xr3:uid="{EBC08BD8-F457-4BDF-8242-A77D141ED713}" name="Svømmetid:9" dataDxfId="49"/>
    <tableColumn id="15" xr3:uid="{04949A7A-2694-42B3-96BA-F907105B4509}" name="Samlettid:10" dataDxfId="48">
      <calculatedColumnFormula>SUM(L27:N27)</calculatedColumnFormula>
    </tableColumn>
    <tableColumn id="16" xr3:uid="{65D38C73-F7B6-4361-8622-63D1728D1BB3}" name="Runde placering:11">
      <calculatedColumnFormula>RANK(O27,$O$27:$O$28,1)</calculatedColumnFormula>
    </tableColumn>
    <tableColumn id="17" xr3:uid="{41234496-FAD0-4EAD-854F-02C31E2B5467}" name="Samlet tid:" dataDxfId="47">
      <calculatedColumnFormula>SUM(E27,J27,O27)</calculatedColumnFormula>
    </tableColumn>
    <tableColumn id="18" xr3:uid="{25FBEE6B-27D7-40DF-A2E1-5F3F0FD1CEDB}" name="Samlet placering:">
      <calculatedColumnFormula>RANK(Q27,$Q$27:$Q$28,1)</calculatedColumnFormula>
    </tableColumn>
  </tableColumns>
  <tableStyleInfo name="TableStyleMedium1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E87A62F-A26B-4E79-BB4A-5581D9B19F06}" name="TimeTrialMale" displayName="TimeTrialMale" ref="A3:G10" totalsRowShown="0" headerRowDxfId="46">
  <autoFilter ref="A3:G10" xr:uid="{8E87A62F-A26B-4E79-BB4A-5581D9B19F06}"/>
  <tableColumns count="7">
    <tableColumn id="1" xr3:uid="{4F30456B-DE75-4E44-B6CF-9C656B0F23D6}" name="Deltager:"/>
    <tableColumn id="2" xr3:uid="{B092E4AD-3340-40F5-ABD3-B9EA2720FA57}" name="1. omgang" dataDxfId="45"/>
    <tableColumn id="3" xr3:uid="{67597AD9-C064-442C-A4EF-99C09A3CECDA}" name="2. omgang" dataDxfId="44"/>
    <tableColumn id="4" xr3:uid="{DA00DA6D-CCDA-4069-8AC3-81773525BB2F}" name="3. omgang" dataDxfId="43"/>
    <tableColumn id="5" xr3:uid="{EC10F753-F4B5-46BC-B0B3-2C859EF08674}" name="4. omgang" dataDxfId="42"/>
    <tableColumn id="6" xr3:uid="{D743AFC9-9A15-4C89-A1E9-71CFBA3EE948}" name="Samlet tid" dataDxfId="41">
      <calculatedColumnFormula>SUM(B4:E4)</calculatedColumnFormula>
    </tableColumn>
    <tableColumn id="7" xr3:uid="{B214681F-8DBD-41CB-B05E-DEA6E6AAB03F}" name="Point:" dataDxfId="40">
      <calculatedColumnFormula>RANK(F4,$F$4:$F$10,1)</calculatedColumnFormula>
    </tableColumn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4B835CD-A330-4025-BAC1-2D6BAD45C101}" name="TimeTrialMaleMaster" displayName="TimeTrialMaleMaster" ref="I3:O8" totalsRowShown="0" headerRowDxfId="39">
  <autoFilter ref="I3:O8" xr:uid="{54B835CD-A330-4025-BAC1-2D6BAD45C101}"/>
  <tableColumns count="7">
    <tableColumn id="1" xr3:uid="{DB132301-6225-44B4-8385-E579B2155372}" name="Deltager:"/>
    <tableColumn id="2" xr3:uid="{F689E08C-FD23-42EF-BDEE-E91D89C9B163}" name="1. omgang" dataDxfId="38"/>
    <tableColumn id="3" xr3:uid="{D5DA66AE-2D99-4DD7-A1A7-C638672F1F29}" name="2. omgang" dataDxfId="37"/>
    <tableColumn id="4" xr3:uid="{CED31959-4013-4A2F-8A73-0AA9B453C62E}" name="3. omgang" dataDxfId="36"/>
    <tableColumn id="5" xr3:uid="{F8F43B7C-3210-4DF6-BE3E-8599932EC895}" name="4. omgang" dataDxfId="35"/>
    <tableColumn id="6" xr3:uid="{66FB07BA-8457-4AF2-9746-26D12C732EAD}" name="Samlet tid" dataDxfId="34">
      <calculatedColumnFormula>SUM(J4:M4)</calculatedColumnFormula>
    </tableColumn>
    <tableColumn id="7" xr3:uid="{451017EB-A9DF-47B7-9EE9-18C67D5203CD}" name="Point masters:" dataDxfId="33">
      <calculatedColumnFormula>RANK(N4,$N$4:$N$10,1)</calculatedColumnFormula>
    </tableColumn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CFF80F5-AE90-43BD-9B4D-138D3B31BD53}" name="AquatlonMale" displayName="AquatlonMale" ref="A3:F12" totalsRowShown="0" headerRowDxfId="32">
  <autoFilter ref="A3:F12" xr:uid="{3CFF80F5-AE90-43BD-9B4D-138D3B31BD53}"/>
  <tableColumns count="6">
    <tableColumn id="1" xr3:uid="{334425B9-7C0D-49A4-8306-0C550760CA1B}" name="Deltager:"/>
    <tableColumn id="2" xr3:uid="{823E53F3-1F69-487D-AA19-2B3A4CBBF2BC}" name="Svømme tid:" dataDxfId="31"/>
    <tableColumn id="3" xr3:uid="{6CD1B215-D87D-406E-AE05-17421AEE7700}" name="T1 tid:" dataDxfId="30"/>
    <tableColumn id="4" xr3:uid="{94566B5D-20D1-4404-B0DC-A56AF21C5FF3}" name="Løbe tid:" dataDxfId="29"/>
    <tableColumn id="5" xr3:uid="{9E06BDB9-8680-4BE6-8896-DDE21A260777}" name="Samlet tid:" dataDxfId="28">
      <calculatedColumnFormula>SUM(B4:D4)</calculatedColumnFormula>
    </tableColumn>
    <tableColumn id="6" xr3:uid="{E899EC13-B4C5-4108-98F2-775A44DF1346}" name="Point:">
      <calculatedColumnFormula>RANK(E4,$E$4:$E$12,1)</calculatedColumnFormula>
    </tableColumn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EB17335-5948-4794-AE4F-152F647F5614}" name="AquatlonMaleMaster" displayName="AquatlonMaleMaster" ref="H3:M6" totalsRowShown="0" headerRowDxfId="27">
  <autoFilter ref="H3:M6" xr:uid="{2EB17335-5948-4794-AE4F-152F647F5614}"/>
  <tableColumns count="6">
    <tableColumn id="1" xr3:uid="{14C160F8-B1E0-4CE5-B48E-01FC0DE1D25B}" name="Deltager:"/>
    <tableColumn id="2" xr3:uid="{149CA205-110C-42CA-B4DB-BD7655DAD4F2}" name="Svømme tid:" dataDxfId="26"/>
    <tableColumn id="3" xr3:uid="{3C728580-9963-44E5-9C88-9C5B2E23D125}" name="T1 tid:" dataDxfId="25"/>
    <tableColumn id="4" xr3:uid="{88E7588A-1603-4C39-939E-6F6DE2C2EDED}" name="Løbe tid:" dataDxfId="24"/>
    <tableColumn id="5" xr3:uid="{339504DF-40A5-434D-9A74-D9CE0EAD2454}" name="Samlet tid:" dataDxfId="23">
      <calculatedColumnFormula>SUM(I4:K4)</calculatedColumnFormula>
    </tableColumn>
    <tableColumn id="6" xr3:uid="{25477257-D620-4D7F-8347-002C087FF1C0}" name="Point:">
      <calculatedColumnFormula>RANK(L4,$L$4:$L$6,1)</calculatedColumnFormula>
    </tableColumn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B8FD443-A31C-484D-BB61-2C5FFCE02306}" name="AquatlonFemale" displayName="AquatlonFemale" ref="A16:F17" totalsRowShown="0" headerRowDxfId="22">
  <autoFilter ref="A16:F17" xr:uid="{1B8FD443-A31C-484D-BB61-2C5FFCE02306}"/>
  <tableColumns count="6">
    <tableColumn id="1" xr3:uid="{0AD97D69-0AE1-46E0-8741-2C9130A088AD}" name="Deltager:"/>
    <tableColumn id="2" xr3:uid="{2B6D3518-03EA-44DB-AF98-1DE19DFB81B9}" name="Svømme tid:" dataDxfId="21"/>
    <tableColumn id="3" xr3:uid="{E4763092-7AF2-4DE2-B62A-7728871A02DC}" name="T1 tid:" dataDxfId="20"/>
    <tableColumn id="4" xr3:uid="{DE881159-5D97-4FC3-A1C8-A46D114244F8}" name="Løbe tid:" dataDxfId="19"/>
    <tableColumn id="5" xr3:uid="{E1311C02-51D4-4BA0-9D72-B69CCD9396A0}" name="Samlet tid:" dataDxfId="18">
      <calculatedColumnFormula>SUM(B17:D17)</calculatedColumnFormula>
    </tableColumn>
    <tableColumn id="6" xr3:uid="{8E304FD0-381E-470B-9301-78D4443E4A93}" name="Point:" dataDxfId="17"/>
  </tableColumns>
  <tableStyleInfo name="TableStyleMedium1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478042A-31D4-4F84-815C-59011A2D059D}" name="trailRunMale" displayName="trailRunMale" ref="A3:D16" totalsRowShown="0" headerRowDxfId="13" headerRowBorderDxfId="16">
  <autoFilter ref="A3:D16" xr:uid="{F478042A-31D4-4F84-815C-59011A2D059D}"/>
  <tableColumns count="4">
    <tableColumn id="1" xr3:uid="{2E5F2D79-D1AC-4F1D-BBD0-3F8EDE5E8AE3}" name="Deltager:"/>
    <tableColumn id="2" xr3:uid="{911E79FE-832A-428C-AAFC-3BD79315972F}" name="Tid:" dataDxfId="15"/>
    <tableColumn id="3" xr3:uid="{10B8F421-017B-4506-9765-DBFE8167B1CC}" name="Pace:" dataDxfId="14"/>
    <tableColumn id="4" xr3:uid="{25F414C8-F0A9-41A3-B058-10EE7E049B92}" name="Point samlet: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169BD6B-8EB0-4B6F-B212-49EDBE49D4BF}" name="trailRunMaleMaster" displayName="trailRunMaleMaster" ref="F3:I7" totalsRowShown="0" headerRowDxfId="9" headerRowBorderDxfId="12">
  <autoFilter ref="F3:I7" xr:uid="{F169BD6B-8EB0-4B6F-B212-49EDBE49D4BF}"/>
  <tableColumns count="4">
    <tableColumn id="1" xr3:uid="{D9B88343-BC7F-4CC1-9AD0-8AD469701EEA}" name="Deltager:"/>
    <tableColumn id="2" xr3:uid="{3DC8271D-378D-431C-8C1F-34D566B81723}" name="Tid:" dataDxfId="11"/>
    <tableColumn id="3" xr3:uid="{85C60366-70A1-4950-AF28-81F669FA8A4A}" name="Pace:" dataDxfId="10">
      <calculatedColumnFormula>G4/4</calculatedColumnFormula>
    </tableColumn>
    <tableColumn id="4" xr3:uid="{CAB5F80A-8F91-423E-B2B5-DAA7D788F8DA}" name="Point masters:">
      <calculatedColumnFormula>RANK(G4,$G$4:$G$7,1)</calculatedColumnFormula>
    </tableColumn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AD9E477-5AF8-4262-8DA6-698B0C9DB3F6}" name="trailRunWomen" displayName="trailRunWomen" ref="A19:D20" totalsRowShown="0">
  <autoFilter ref="A19:D20" xr:uid="{4AD9E477-5AF8-4262-8DA6-698B0C9DB3F6}"/>
  <tableColumns count="4">
    <tableColumn id="1" xr3:uid="{C65DB8DC-D7E4-4395-B0D6-C21B2D4A9029}" name="Deltager:"/>
    <tableColumn id="2" xr3:uid="{FF59B244-648E-4418-8EDA-425F580FCD0E}" name="Tid:" dataDxfId="8"/>
    <tableColumn id="3" xr3:uid="{C157E0D9-44C1-4782-9855-F047EA17AAE5}" name="Pace:" dataDxfId="7">
      <calculatedColumnFormula>B20/4</calculatedColumnFormula>
    </tableColumn>
    <tableColumn id="4" xr3:uid="{7A72CE30-AA26-41CD-ADF5-E5C5BE531302}" name="Point samlet:"/>
  </tableColumns>
  <tableStyleInfo name="TableStyleMedium14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0CEDF24-00CB-4543-9426-177EC4A5D8E3}" name="trailRunWomenMaster" displayName="trailRunWomenMaster" ref="F19:I20" totalsRowShown="0">
  <autoFilter ref="F19:I20" xr:uid="{C0CEDF24-00CB-4543-9426-177EC4A5D8E3}"/>
  <tableColumns count="4">
    <tableColumn id="1" xr3:uid="{98D032E9-4EF3-4926-9788-2FA2F89D7496}" name="Deltager:"/>
    <tableColumn id="2" xr3:uid="{8C6F9E97-85B1-4376-A547-62369EF7A704}" name="Tid:" dataDxfId="6"/>
    <tableColumn id="3" xr3:uid="{4FAB96AF-E45F-4E95-AFDE-6114D8074304}" name="Pace:" dataDxfId="5">
      <calculatedColumnFormula>G20/4</calculatedColumnFormula>
    </tableColumn>
    <tableColumn id="4" xr3:uid="{217DAEE5-7AB9-4E55-BFC3-3D0A39809282}" name="Point masters: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4" Type="http://schemas.openxmlformats.org/officeDocument/2006/relationships/table" Target="../tables/table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table" Target="../tables/table2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4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AFF2-61AE-411B-9889-317C6C2EFB0E}">
  <dimension ref="A1:Y78"/>
  <sheetViews>
    <sheetView tabSelected="1" workbookViewId="0">
      <selection activeCell="U21" sqref="U21"/>
    </sheetView>
  </sheetViews>
  <sheetFormatPr defaultRowHeight="14.4" x14ac:dyDescent="0.55000000000000004"/>
  <cols>
    <col min="1" max="1" width="28.41796875" customWidth="1"/>
    <col min="2" max="5" width="4" bestFit="1" customWidth="1"/>
    <col min="6" max="6" width="4" customWidth="1"/>
    <col min="7" max="7" width="4.26171875" bestFit="1" customWidth="1"/>
    <col min="8" max="8" width="4" bestFit="1" customWidth="1"/>
    <col min="9" max="9" width="7.5234375" bestFit="1" customWidth="1"/>
    <col min="10" max="10" width="7.15625" bestFit="1" customWidth="1"/>
    <col min="11" max="11" width="17.3125" bestFit="1" customWidth="1"/>
    <col min="12" max="12" width="16.83984375" bestFit="1" customWidth="1"/>
    <col min="13" max="13" width="20.83984375" bestFit="1" customWidth="1"/>
    <col min="14" max="14" width="5.05078125" bestFit="1" customWidth="1"/>
    <col min="15" max="15" width="4.26171875" customWidth="1"/>
    <col min="16" max="16" width="4" customWidth="1"/>
    <col min="17" max="20" width="4.26171875" customWidth="1"/>
    <col min="21" max="21" width="4" bestFit="1" customWidth="1"/>
    <col min="22" max="22" width="7.15625" bestFit="1" customWidth="1"/>
    <col min="23" max="23" width="17.3125" bestFit="1" customWidth="1"/>
    <col min="24" max="24" width="7" bestFit="1" customWidth="1"/>
    <col min="25" max="25" width="16.83984375" bestFit="1" customWidth="1"/>
  </cols>
  <sheetData>
    <row r="1" spans="1:25" ht="23.1" x14ac:dyDescent="0.85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5" x14ac:dyDescent="0.55000000000000004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28"/>
      <c r="M2" s="64" t="s">
        <v>43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28"/>
      <c r="Y2" s="28"/>
    </row>
    <row r="3" spans="1:25" x14ac:dyDescent="0.55000000000000004">
      <c r="B3" s="63" t="s">
        <v>41</v>
      </c>
      <c r="C3" s="63"/>
      <c r="D3" s="63"/>
      <c r="E3" s="63"/>
      <c r="F3" s="63"/>
      <c r="G3" s="63"/>
      <c r="H3" s="63"/>
      <c r="I3" s="63"/>
      <c r="J3" s="63"/>
      <c r="K3" s="1"/>
      <c r="L3" s="1"/>
      <c r="O3" s="63" t="s">
        <v>41</v>
      </c>
      <c r="P3" s="63"/>
      <c r="Q3" s="63"/>
      <c r="R3" s="63"/>
      <c r="S3" s="63"/>
      <c r="T3" s="63"/>
      <c r="U3" s="63"/>
      <c r="V3" s="63"/>
      <c r="W3" s="63"/>
    </row>
    <row r="4" spans="1:25" x14ac:dyDescent="0.55000000000000004">
      <c r="A4" s="16" t="s">
        <v>1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  <c r="J4" t="s">
        <v>52</v>
      </c>
      <c r="K4" t="s">
        <v>53</v>
      </c>
      <c r="M4" s="16" t="s">
        <v>1</v>
      </c>
      <c r="N4" t="s">
        <v>44</v>
      </c>
      <c r="O4" t="s">
        <v>45</v>
      </c>
      <c r="P4" t="s">
        <v>46</v>
      </c>
      <c r="Q4" t="s">
        <v>47</v>
      </c>
      <c r="R4" t="s">
        <v>48</v>
      </c>
      <c r="S4" t="s">
        <v>49</v>
      </c>
      <c r="T4" t="s">
        <v>50</v>
      </c>
      <c r="U4" t="s">
        <v>51</v>
      </c>
      <c r="V4" t="s">
        <v>52</v>
      </c>
      <c r="W4" t="s">
        <v>53</v>
      </c>
    </row>
    <row r="5" spans="1:25" x14ac:dyDescent="0.55000000000000004">
      <c r="A5" s="17" t="s">
        <v>14</v>
      </c>
      <c r="B5">
        <f>IFERROR(VLOOKUP(A5,SwimMale[],4,FALSE),ROWS(SwimMale[])+5)</f>
        <v>2</v>
      </c>
      <c r="C5">
        <f>IFERROR(VLOOKUP(A5,RunMale[],4,FALSE),ROWS(RunMale[])+5)</f>
        <v>1</v>
      </c>
      <c r="D5">
        <f>IFERROR(VLOOKUP(A5,DuathlonMale[],11,FALSE),ROWS(DuathlonMale[])+5)</f>
        <v>1</v>
      </c>
      <c r="E5">
        <f>IFERROR(VLOOKUP(A5,OpenWaterMale[],4,FALSE),ROWS(OpenWaterMale[])+5)</f>
        <v>2</v>
      </c>
      <c r="F5">
        <f>IFERROR(VLOOKUP(A5,TriathlonMale[],18,FALSE),ROWS(TriathlonMale[])+5)</f>
        <v>1</v>
      </c>
      <c r="G5">
        <f>IFERROR(VLOOKUP(A5,TimeTrialMale[],7,FALSE),ROWS(TimeTrialMale[])+5)</f>
        <v>12</v>
      </c>
      <c r="H5">
        <f>IFERROR(VLOOKUP(A5,AquatlonMale[],6,FALSE),ROWS(AquatlonMale[])+5)</f>
        <v>1</v>
      </c>
      <c r="I5">
        <f>IFERROR(VLOOKUP(A5,trailRunMale[],4,FALSE),ROWS(trailRunMale[])+5)</f>
        <v>1</v>
      </c>
      <c r="J5" cm="1">
        <f t="array" aca="1" ref="J5" ca="1">SUMPRODUCT(SMALL(B5:I5,ROW(INDIRECT("1:6"))))</f>
        <v>7</v>
      </c>
      <c r="K5">
        <f ca="1">RANK(J5,$J$5:$J$37,1)</f>
        <v>1</v>
      </c>
      <c r="M5" s="59" t="s">
        <v>54</v>
      </c>
      <c r="N5">
        <f>IFERROR(VLOOKUP(M5,SwimMaleMaster[],4,FALSE),ROWS(SwimMaleMaster[])+5)</f>
        <v>1</v>
      </c>
      <c r="O5">
        <f>IFERROR(VLOOKUP(M5,RunMaleMaster[],4,FALSE),ROWS(RunMaleMaster[])+5)</f>
        <v>1</v>
      </c>
      <c r="P5">
        <f>IFERROR(VLOOKUP(M5,DuathlonMaleMaster[],11,FALSE),ROWS(DuathlonMaleMaster[])+5)</f>
        <v>1</v>
      </c>
      <c r="Q5">
        <f>IFERROR(VLOOKUP(M5,OpenWaterMaleMaster[],4,FALSE),ROWS(OpenWaterMaleMaster[])+5)</f>
        <v>1</v>
      </c>
      <c r="R5">
        <f>IFERROR(VLOOKUP(M5,TriathlonMaleMasters[],18,FALSE),ROWS(TriathlonMaleMasters[])+5)</f>
        <v>7</v>
      </c>
      <c r="S5">
        <f>IFERROR(VLOOKUP(M5,TimeTrialMaleMaster[],7,FALSE),ROWS(TimeTrialMaleMaster[])+5)</f>
        <v>1</v>
      </c>
      <c r="T5">
        <f>IFERROR(VLOOKUP(M5,AquatlonMaleMaster[],6,FALSE),ROWS(AquatlonMaleMaster[])+5)</f>
        <v>1</v>
      </c>
      <c r="U5">
        <f>IFERROR(VLOOKUP(M5,trailRunMaleMaster[],4,FALSE),ROWS(trailRunMaleMaster[])+5)</f>
        <v>1</v>
      </c>
      <c r="V5" cm="1">
        <f t="array" aca="1" ref="V5" ca="1">SUMPRODUCT(SMALL(N5:U5,ROW(INDIRECT("1:6"))))</f>
        <v>6</v>
      </c>
      <c r="W5">
        <f t="shared" ref="W5:W16" ca="1" si="0">RANK(V5,$V$5:$V$16,1)</f>
        <v>1</v>
      </c>
    </row>
    <row r="6" spans="1:25" x14ac:dyDescent="0.55000000000000004">
      <c r="A6" s="17" t="s">
        <v>54</v>
      </c>
      <c r="B6">
        <f>IFERROR(VLOOKUP(A6,SwimMale[],4,FALSE),ROWS(SwimMale[])+5)</f>
        <v>4</v>
      </c>
      <c r="C6">
        <f>IFERROR(VLOOKUP(A6,RunMale[],4,FALSE),ROWS(RunMale[])+5)</f>
        <v>9</v>
      </c>
      <c r="D6">
        <f>IFERROR(VLOOKUP(A6,DuathlonMale[],11,FALSE),ROWS(DuathlonMale[])+5)</f>
        <v>6</v>
      </c>
      <c r="E6">
        <f>IFERROR(VLOOKUP(A6,OpenWaterMale[],4,FALSE),ROWS(OpenWaterMale[])+5)</f>
        <v>4</v>
      </c>
      <c r="F6">
        <f>IFERROR(VLOOKUP(A6,TriathlonMale[],18,FALSE),ROWS(TriathlonMale[])+5)</f>
        <v>14</v>
      </c>
      <c r="G6">
        <f>IFERROR(VLOOKUP(A6,TimeTrialMale[],7,FALSE),ROWS(TimeTrialMale[])+5)</f>
        <v>2</v>
      </c>
      <c r="H6">
        <f>IFERROR(VLOOKUP(A6,AquatlonMale[],6,FALSE),ROWS(AquatlonMale[])+5)</f>
        <v>3</v>
      </c>
      <c r="I6">
        <f>IFERROR(VLOOKUP(A6,trailRunMale[],4,FALSE),ROWS(trailRunMale[])+5)</f>
        <v>6</v>
      </c>
      <c r="J6" cm="1">
        <f t="array" aca="1" ref="J6" ca="1">SUMPRODUCT(SMALL(B6:I6,ROW(INDIRECT("1:6"))))</f>
        <v>25</v>
      </c>
      <c r="K6">
        <f ca="1">RANK(J6,$J$5:$J$37,1)</f>
        <v>2</v>
      </c>
      <c r="M6" s="15" t="s">
        <v>17</v>
      </c>
      <c r="N6">
        <f>IFERROR(VLOOKUP(M6,SwimMaleMaster[],4,FALSE),ROWS(SwimMaleMaster[])+5)</f>
        <v>2</v>
      </c>
      <c r="O6">
        <f>IFERROR(VLOOKUP(M6,RunMaleMaster[],4,FALSE),ROWS(RunMaleMaster[])+5)</f>
        <v>2</v>
      </c>
      <c r="P6">
        <f>IFERROR(VLOOKUP(M6,DuathlonMaleMaster[],11,FALSE),ROWS(DuathlonMaleMaster[])+5)</f>
        <v>8</v>
      </c>
      <c r="Q6">
        <f>IFERROR(VLOOKUP(M6,OpenWaterMaleMaster[],4,FALSE),ROWS(OpenWaterMaleMaster[])+5)</f>
        <v>2</v>
      </c>
      <c r="R6">
        <f>IFERROR(VLOOKUP(M6,TriathlonMaleMasters[],18,FALSE),ROWS(TriathlonMaleMasters[])+5)</f>
        <v>1</v>
      </c>
      <c r="S6">
        <f>IFERROR(VLOOKUP(M6,TimeTrialMaleMaster[],7,FALSE),ROWS(TimeTrialMaleMaster[])+5)</f>
        <v>4</v>
      </c>
      <c r="T6">
        <f>IFERROR(VLOOKUP(M6,AquatlonMaleMaster[],6,FALSE),ROWS(AquatlonMaleMaster[])+5)</f>
        <v>2</v>
      </c>
      <c r="U6">
        <f>IFERROR(VLOOKUP(M6,trailRunMaleMaster[],4,FALSE),ROWS(trailRunMaleMaster[])+5)</f>
        <v>2</v>
      </c>
      <c r="V6" cm="1">
        <f t="array" aca="1" ref="V6" ca="1">SUMPRODUCT(SMALL(N6:U6,ROW(INDIRECT("1:6"))))</f>
        <v>11</v>
      </c>
      <c r="W6">
        <f t="shared" ca="1" si="0"/>
        <v>2</v>
      </c>
    </row>
    <row r="7" spans="1:25" x14ac:dyDescent="0.55000000000000004">
      <c r="A7" s="29" t="s">
        <v>20</v>
      </c>
      <c r="B7">
        <f>IFERROR(VLOOKUP(A7,SwimMale[],4,FALSE),ROWS(SwimMale[])+5)</f>
        <v>1</v>
      </c>
      <c r="C7">
        <f>IFERROR(VLOOKUP(A7,RunMale[],4,FALSE),ROWS(RunMale[])+5)</f>
        <v>24</v>
      </c>
      <c r="D7">
        <f>IFERROR(VLOOKUP(A7,DuathlonMale[],11,FALSE),ROWS(DuathlonMale[])+5)</f>
        <v>17</v>
      </c>
      <c r="E7">
        <f>IFERROR(VLOOKUP(A7,OpenWaterMale[],4,FALSE),ROWS(OpenWaterMale[])+5)</f>
        <v>1</v>
      </c>
      <c r="F7">
        <f>IFERROR(VLOOKUP(A7,TriathlonMale[],18,FALSE),ROWS(TriathlonMale[])+5)</f>
        <v>3</v>
      </c>
      <c r="G7">
        <f>IFERROR(VLOOKUP(A7,TimeTrialMale[],7,FALSE),ROWS(TimeTrialMale[])+5)</f>
        <v>12</v>
      </c>
      <c r="H7">
        <f>IFERROR(VLOOKUP(A7,AquatlonMale[],6,FALSE),ROWS(AquatlonMale[])+5)</f>
        <v>7</v>
      </c>
      <c r="I7">
        <f>IFERROR(VLOOKUP(A7,trailRunMale[],4,FALSE),ROWS(trailRunMale[])+5)</f>
        <v>18</v>
      </c>
      <c r="J7" cm="1">
        <f t="array" aca="1" ref="J7" ca="1">SUMPRODUCT(SMALL(B7:I7,ROW(INDIRECT("1:6"))))</f>
        <v>41</v>
      </c>
      <c r="K7">
        <f ca="1">RANK(J7,$J$5:$J$37,1)</f>
        <v>3</v>
      </c>
      <c r="M7" s="32" t="s">
        <v>24</v>
      </c>
      <c r="N7">
        <f>IFERROR(VLOOKUP(M7,SwimMaleMaster[],4,FALSE),ROWS(SwimMaleMaster[])+5)</f>
        <v>5</v>
      </c>
      <c r="O7">
        <f>IFERROR(VLOOKUP(M7,RunMaleMaster[],4,FALSE),ROWS(RunMaleMaster[])+5)</f>
        <v>7</v>
      </c>
      <c r="P7">
        <f>IFERROR(VLOOKUP(M7,DuathlonMaleMaster[],11,FALSE),ROWS(DuathlonMaleMaster[])+5)</f>
        <v>8</v>
      </c>
      <c r="Q7">
        <f>IFERROR(VLOOKUP(M7,OpenWaterMaleMaster[],4,FALSE),ROWS(OpenWaterMaleMaster[])+5)</f>
        <v>5</v>
      </c>
      <c r="R7">
        <f>IFERROR(VLOOKUP(M7,TriathlonMaleMasters[],18,FALSE),ROWS(TriathlonMaleMasters[])+5)</f>
        <v>2</v>
      </c>
      <c r="S7">
        <f>IFERROR(VLOOKUP(M7,TimeTrialMaleMaster[],7,FALSE),ROWS(TimeTrialMaleMaster[])+5)</f>
        <v>5</v>
      </c>
      <c r="T7">
        <f>IFERROR(VLOOKUP(M7,AquatlonMaleMaster[],6,FALSE),ROWS(AquatlonMaleMaster[])+5)</f>
        <v>3</v>
      </c>
      <c r="U7">
        <f>IFERROR(VLOOKUP(M7,trailRunMaleMaster[],4,FALSE),ROWS(trailRunMaleMaster[])+5)</f>
        <v>3</v>
      </c>
      <c r="V7" cm="1">
        <f t="array" aca="1" ref="V7" ca="1">SUMPRODUCT(SMALL(N7:U7,ROW(INDIRECT("1:6"))))</f>
        <v>23</v>
      </c>
      <c r="W7">
        <f t="shared" ca="1" si="0"/>
        <v>3</v>
      </c>
    </row>
    <row r="8" spans="1:25" x14ac:dyDescent="0.55000000000000004">
      <c r="A8" s="13" t="s">
        <v>12</v>
      </c>
      <c r="B8">
        <f>IFERROR(VLOOKUP(A8,SwimMale[],4,FALSE),ROWS(SwimMale[])+5)</f>
        <v>7</v>
      </c>
      <c r="C8">
        <f>IFERROR(VLOOKUP(A8,RunMale[],4,FALSE),ROWS(RunMale[])+5)</f>
        <v>3</v>
      </c>
      <c r="D8">
        <f>IFERROR(VLOOKUP(A8,DuathlonMale[],11,FALSE),ROWS(DuathlonMale[])+5)</f>
        <v>17</v>
      </c>
      <c r="E8">
        <f>IFERROR(VLOOKUP(A8,OpenWaterMale[],4,FALSE),ROWS(OpenWaterMale[])+5)</f>
        <v>13</v>
      </c>
      <c r="F8">
        <f>IFERROR(VLOOKUP(A8,TriathlonMale[],18,FALSE),ROWS(TriathlonMale[])+5)</f>
        <v>14</v>
      </c>
      <c r="G8">
        <f>IFERROR(VLOOKUP(A8,TimeTrialMale[],7,FALSE),ROWS(TimeTrialMale[])+5)</f>
        <v>12</v>
      </c>
      <c r="H8">
        <f>IFERROR(VLOOKUP(A8,AquatlonMale[],6,FALSE),ROWS(AquatlonMale[])+5)</f>
        <v>4</v>
      </c>
      <c r="I8">
        <f>IFERROR(VLOOKUP(A8,trailRunMale[],4,FALSE),ROWS(trailRunMale[])+5)</f>
        <v>2</v>
      </c>
      <c r="J8" cm="1">
        <f t="array" aca="1" ref="J8" ca="1">SUMPRODUCT(SMALL(B8:I8,ROW(INDIRECT("1:6"))))</f>
        <v>41</v>
      </c>
      <c r="K8">
        <f ca="1">RANK(J8,$J$5:$J$37,1)</f>
        <v>3</v>
      </c>
      <c r="M8" s="35" t="s">
        <v>21</v>
      </c>
      <c r="N8">
        <f>IFERROR(VLOOKUP(M8,SwimMaleMaster[],4,FALSE),ROWS(SwimMaleMaster[])+5)</f>
        <v>3</v>
      </c>
      <c r="O8">
        <f>IFERROR(VLOOKUP(M8,RunMaleMaster[],4,FALSE),ROWS(RunMaleMaster[])+5)</f>
        <v>12</v>
      </c>
      <c r="P8">
        <f>IFERROR(VLOOKUP(M8,DuathlonMaleMaster[],11,FALSE),ROWS(DuathlonMaleMaster[])+5)</f>
        <v>8</v>
      </c>
      <c r="Q8">
        <f>IFERROR(VLOOKUP(M8,OpenWaterMaleMaster[],4,FALSE),ROWS(OpenWaterMaleMaster[])+5)</f>
        <v>3</v>
      </c>
      <c r="R8">
        <f>IFERROR(VLOOKUP(M8,TriathlonMaleMasters[],18,FALSE),ROWS(TriathlonMaleMasters[])+5)</f>
        <v>7</v>
      </c>
      <c r="S8">
        <f>IFERROR(VLOOKUP(M8,TimeTrialMaleMaster[],7,FALSE),ROWS(TimeTrialMaleMaster[])+5)</f>
        <v>3</v>
      </c>
      <c r="T8">
        <f>IFERROR(VLOOKUP(M8,AquatlonMaleMaster[],6,FALSE),ROWS(AquatlonMaleMaster[])+5)</f>
        <v>8</v>
      </c>
      <c r="U8">
        <f>IFERROR(VLOOKUP(M8,trailRunMaleMaster[],4,FALSE),ROWS(trailRunMaleMaster[])+5)</f>
        <v>9</v>
      </c>
      <c r="V8" cm="1">
        <f t="array" aca="1" ref="V8" ca="1">SUMPRODUCT(SMALL(N8:U8,ROW(INDIRECT("1:6"))))</f>
        <v>32</v>
      </c>
      <c r="W8">
        <f t="shared" ca="1" si="0"/>
        <v>4</v>
      </c>
    </row>
    <row r="9" spans="1:25" x14ac:dyDescent="0.55000000000000004">
      <c r="A9" s="13" t="s">
        <v>17</v>
      </c>
      <c r="B9">
        <f>IFERROR(VLOOKUP(A9,SwimMale[],4,FALSE),ROWS(SwimMale[])+5)</f>
        <v>9</v>
      </c>
      <c r="C9">
        <f>IFERROR(VLOOKUP(A9,RunMale[],4,FALSE),ROWS(RunMale[])+5)</f>
        <v>10</v>
      </c>
      <c r="D9">
        <f>IFERROR(VLOOKUP(A9,DuathlonMale[],11,FALSE),ROWS(DuathlonMale[])+5)</f>
        <v>17</v>
      </c>
      <c r="E9">
        <f>IFERROR(VLOOKUP(A9,OpenWaterMale[],4,FALSE),ROWS(OpenWaterMale[])+5)</f>
        <v>8</v>
      </c>
      <c r="F9">
        <f>IFERROR(VLOOKUP(A9,TriathlonMale[],18,FALSE),ROWS(TriathlonMale[])+5)</f>
        <v>7</v>
      </c>
      <c r="G9">
        <f>IFERROR(VLOOKUP(A9,TimeTrialMale[],7,FALSE),ROWS(TimeTrialMale[])+5)</f>
        <v>6</v>
      </c>
      <c r="H9">
        <f>IFERROR(VLOOKUP(A9,AquatlonMale[],6,FALSE),ROWS(AquatlonMale[])+5)</f>
        <v>6</v>
      </c>
      <c r="I9">
        <f>IFERROR(VLOOKUP(A9,trailRunMale[],4,FALSE),ROWS(trailRunMale[])+5)</f>
        <v>7</v>
      </c>
      <c r="J9" cm="1">
        <f t="array" aca="1" ref="J9" ca="1">SUMPRODUCT(SMALL(B9:I9,ROW(INDIRECT("1:6"))))</f>
        <v>43</v>
      </c>
      <c r="K9">
        <f ca="1">RANK(J9,$J$5:$J$37,1)</f>
        <v>5</v>
      </c>
      <c r="M9" s="60" t="s">
        <v>8</v>
      </c>
      <c r="N9">
        <f>IFERROR(VLOOKUP(M9,SwimMaleMaster[],4,FALSE),ROWS(SwimMaleMaster[])+5)</f>
        <v>7</v>
      </c>
      <c r="O9">
        <f>IFERROR(VLOOKUP(M9,RunMaleMaster[],4,FALSE),ROWS(RunMaleMaster[])+5)</f>
        <v>3</v>
      </c>
      <c r="P9">
        <f>IFERROR(VLOOKUP(M9,DuathlonMaleMaster[],11,FALSE),ROWS(DuathlonMaleMaster[])+5)</f>
        <v>2</v>
      </c>
      <c r="Q9">
        <f>IFERROR(VLOOKUP(M9,OpenWaterMaleMaster[],4,FALSE),ROWS(OpenWaterMaleMaster[])+5)</f>
        <v>6</v>
      </c>
      <c r="R9">
        <f>IFERROR(VLOOKUP(M9,TriathlonMaleMasters[],18,FALSE),ROWS(TriathlonMaleMasters[])+5)</f>
        <v>7</v>
      </c>
      <c r="S9">
        <f>IFERROR(VLOOKUP(M9,TimeTrialMaleMaster[],7,FALSE),ROWS(TimeTrialMaleMaster[])+5)</f>
        <v>10</v>
      </c>
      <c r="T9">
        <f>IFERROR(VLOOKUP(M9,AquatlonMaleMaster[],6,FALSE),ROWS(AquatlonMaleMaster[])+5)</f>
        <v>8</v>
      </c>
      <c r="U9">
        <f>IFERROR(VLOOKUP(M9,trailRunMaleMaster[],4,FALSE),ROWS(trailRunMaleMaster[])+5)</f>
        <v>9</v>
      </c>
      <c r="V9" cm="1">
        <f t="array" aca="1" ref="V9" ca="1">SUMPRODUCT(SMALL(N9:U9,ROW(INDIRECT("1:6"))))</f>
        <v>33</v>
      </c>
      <c r="W9">
        <f t="shared" ca="1" si="0"/>
        <v>5</v>
      </c>
    </row>
    <row r="10" spans="1:25" x14ac:dyDescent="0.55000000000000004">
      <c r="A10" s="13" t="s">
        <v>57</v>
      </c>
      <c r="B10">
        <f>IFERROR(VLOOKUP(A10,SwimMale[],4,FALSE),ROWS(SwimMale[])+5)</f>
        <v>26</v>
      </c>
      <c r="C10">
        <f>IFERROR(VLOOKUP(A10,RunMale[],4,FALSE),ROWS(RunMale[])+5)</f>
        <v>7</v>
      </c>
      <c r="D10">
        <f>IFERROR(VLOOKUP(A10,DuathlonMale[],11,FALSE),ROWS(DuathlonMale[])+5)</f>
        <v>3</v>
      </c>
      <c r="E10">
        <f>IFERROR(VLOOKUP(A10,OpenWaterMale[],4,FALSE),ROWS(OpenWaterMale[])+5)</f>
        <v>6</v>
      </c>
      <c r="F10">
        <f>IFERROR(VLOOKUP(A10,TriathlonMale[],18,FALSE),ROWS(TriathlonMale[])+5)</f>
        <v>2</v>
      </c>
      <c r="G10">
        <f>IFERROR(VLOOKUP(A10,TimeTrialMale[],7,FALSE),ROWS(TimeTrialMale[])+5)</f>
        <v>12</v>
      </c>
      <c r="H10">
        <f>IFERROR(VLOOKUP(A10,AquatlonMale[],6,FALSE),ROWS(AquatlonMale[])+5)</f>
        <v>14</v>
      </c>
      <c r="I10">
        <f>IFERROR(VLOOKUP(A10,trailRunMale[],4,FALSE),ROWS(trailRunMale[])+5)</f>
        <v>18</v>
      </c>
      <c r="J10" cm="1">
        <f t="array" aca="1" ref="J10" ca="1">SUMPRODUCT(SMALL(B10:I10,ROW(INDIRECT("1:6"))))</f>
        <v>44</v>
      </c>
      <c r="K10">
        <f ca="1">RANK(J10,$J$5:$J$37,1)</f>
        <v>6</v>
      </c>
      <c r="M10" s="27" t="s">
        <v>10</v>
      </c>
      <c r="N10">
        <f>IFERROR(VLOOKUP(M10,SwimMaleMaster[],4,FALSE),ROWS(SwimMaleMaster[])+5)</f>
        <v>4</v>
      </c>
      <c r="O10">
        <f>IFERROR(VLOOKUP(M10,RunMaleMaster[],4,FALSE),ROWS(RunMaleMaster[])+5)</f>
        <v>6</v>
      </c>
      <c r="P10">
        <f>IFERROR(VLOOKUP(M10,DuathlonMaleMaster[],11,FALSE),ROWS(DuathlonMaleMaster[])+5)</f>
        <v>8</v>
      </c>
      <c r="Q10">
        <f>IFERROR(VLOOKUP(M10,OpenWaterMaleMaster[],4,FALSE),ROWS(OpenWaterMaleMaster[])+5)</f>
        <v>11</v>
      </c>
      <c r="R10">
        <f>IFERROR(VLOOKUP(M10,TriathlonMaleMasters[],18,FALSE),ROWS(TriathlonMaleMasters[])+5)</f>
        <v>7</v>
      </c>
      <c r="S10">
        <f>IFERROR(VLOOKUP(M10,TimeTrialMaleMaster[],7,FALSE),ROWS(TimeTrialMaleMaster[])+5)</f>
        <v>10</v>
      </c>
      <c r="T10">
        <f>IFERROR(VLOOKUP(M10,AquatlonMaleMaster[],6,FALSE),ROWS(AquatlonMaleMaster[])+5)</f>
        <v>8</v>
      </c>
      <c r="U10">
        <f>IFERROR(VLOOKUP(M10,trailRunMaleMaster[],4,FALSE),ROWS(trailRunMaleMaster[])+5)</f>
        <v>9</v>
      </c>
      <c r="V10" cm="1">
        <f t="array" aca="1" ref="V10" ca="1">SUMPRODUCT(SMALL(N10:U10,ROW(INDIRECT("1:6"))))</f>
        <v>42</v>
      </c>
      <c r="W10">
        <f t="shared" ca="1" si="0"/>
        <v>7</v>
      </c>
    </row>
    <row r="11" spans="1:25" x14ac:dyDescent="0.55000000000000004">
      <c r="A11" s="29" t="s">
        <v>18</v>
      </c>
      <c r="B11">
        <f>IFERROR(VLOOKUP(A11,SwimMale[],4,FALSE),ROWS(SwimMale[])+5)</f>
        <v>6</v>
      </c>
      <c r="C11">
        <f>IFERROR(VLOOKUP(A11,RunMale[],4,FALSE),ROWS(RunMale[])+5)</f>
        <v>24</v>
      </c>
      <c r="D11">
        <f>IFERROR(VLOOKUP(A11,DuathlonMale[],11,FALSE),ROWS(DuathlonMale[])+5)</f>
        <v>12</v>
      </c>
      <c r="E11">
        <f>IFERROR(VLOOKUP(A11,OpenWaterMale[],4,FALSE),ROWS(OpenWaterMale[])+5)</f>
        <v>11</v>
      </c>
      <c r="F11">
        <f>IFERROR(VLOOKUP(A11,TriathlonMale[],18,FALSE),ROWS(TriathlonMale[])+5)</f>
        <v>4</v>
      </c>
      <c r="G11">
        <f>IFERROR(VLOOKUP(A11,TimeTrialMale[],7,FALSE),ROWS(TimeTrialMale[])+5)</f>
        <v>1</v>
      </c>
      <c r="H11">
        <f>IFERROR(VLOOKUP(A11,AquatlonMale[],6,FALSE),ROWS(AquatlonMale[])+5)</f>
        <v>14</v>
      </c>
      <c r="I11">
        <f>IFERROR(VLOOKUP(A11,trailRunMale[],4,FALSE),ROWS(trailRunMale[])+5)</f>
        <v>12</v>
      </c>
      <c r="J11" cm="1">
        <f t="array" aca="1" ref="J11" ca="1">SUMPRODUCT(SMALL(B11:I11,ROW(INDIRECT("1:6"))))</f>
        <v>46</v>
      </c>
      <c r="K11">
        <f ca="1">RANK(J11,$J$5:$J$37,1)</f>
        <v>7</v>
      </c>
      <c r="M11" s="27" t="s">
        <v>60</v>
      </c>
      <c r="N11">
        <f>IFERROR(VLOOKUP(M11,SwimMaleMaster[],4,FALSE),ROWS(SwimMaleMaster[])+5)</f>
        <v>12</v>
      </c>
      <c r="O11">
        <f>IFERROR(VLOOKUP(M11,RunMaleMaster[],4,FALSE),ROWS(RunMaleMaster[])+5)</f>
        <v>4</v>
      </c>
      <c r="P11">
        <f>IFERROR(VLOOKUP(M11,DuathlonMaleMaster[],11,FALSE),ROWS(DuathlonMaleMaster[])+5)</f>
        <v>8</v>
      </c>
      <c r="Q11">
        <f>IFERROR(VLOOKUP(M11,OpenWaterMaleMaster[],4,FALSE),ROWS(OpenWaterMaleMaster[])+5)</f>
        <v>11</v>
      </c>
      <c r="R11">
        <f>IFERROR(VLOOKUP(M11,TriathlonMaleMasters[],18,FALSE),ROWS(TriathlonMaleMasters[])+5)</f>
        <v>7</v>
      </c>
      <c r="S11">
        <f>IFERROR(VLOOKUP(M11,TimeTrialMaleMaster[],7,FALSE),ROWS(TimeTrialMaleMaster[])+5)</f>
        <v>10</v>
      </c>
      <c r="T11">
        <f>IFERROR(VLOOKUP(M11,AquatlonMaleMaster[],6,FALSE),ROWS(AquatlonMaleMaster[])+5)</f>
        <v>8</v>
      </c>
      <c r="U11">
        <f>IFERROR(VLOOKUP(M11,trailRunMaleMaster[],4,FALSE),ROWS(trailRunMaleMaster[])+5)</f>
        <v>4</v>
      </c>
      <c r="V11" cm="1">
        <f t="array" aca="1" ref="V11" ca="1">SUMPRODUCT(SMALL(N11:U11,ROW(INDIRECT("1:6"))))</f>
        <v>41</v>
      </c>
      <c r="W11">
        <f t="shared" ca="1" si="0"/>
        <v>6</v>
      </c>
    </row>
    <row r="12" spans="1:25" x14ac:dyDescent="0.55000000000000004">
      <c r="A12" s="12" t="s">
        <v>5</v>
      </c>
      <c r="B12">
        <f>IFERROR(VLOOKUP(A12,SwimMale[],4,FALSE),ROWS(SwimMale[])+5)</f>
        <v>8</v>
      </c>
      <c r="C12">
        <f>IFERROR(VLOOKUP(A12,RunMale[],4,FALSE),ROWS(RunMale[])+5)</f>
        <v>2</v>
      </c>
      <c r="D12">
        <f>IFERROR(VLOOKUP(A12,DuathlonMale[],11,FALSE),ROWS(DuathlonMale[])+5)</f>
        <v>2</v>
      </c>
      <c r="E12">
        <f>IFERROR(VLOOKUP(A12,OpenWaterMale[],4,FALSE),ROWS(OpenWaterMale[])+5)</f>
        <v>9</v>
      </c>
      <c r="F12">
        <f>IFERROR(VLOOKUP(A12,TriathlonMale[],18,FALSE),ROWS(TriathlonMale[])+5)</f>
        <v>14</v>
      </c>
      <c r="G12">
        <f>IFERROR(VLOOKUP(A12,TimeTrialMale[],7,FALSE),ROWS(TimeTrialMale[])+5)</f>
        <v>12</v>
      </c>
      <c r="H12">
        <f>IFERROR(VLOOKUP(A12,AquatlonMale[],6,FALSE),ROWS(AquatlonMale[])+5)</f>
        <v>14</v>
      </c>
      <c r="I12">
        <f>IFERROR(VLOOKUP(A12,trailRunMale[],4,FALSE),ROWS(trailRunMale[])+5)</f>
        <v>18</v>
      </c>
      <c r="J12" cm="1">
        <f t="array" aca="1" ref="J12" ca="1">SUMPRODUCT(SMALL(B12:I12,ROW(INDIRECT("1:6"))))</f>
        <v>47</v>
      </c>
      <c r="K12">
        <f ca="1">RANK(J12,$J$5:$J$37,1)</f>
        <v>8</v>
      </c>
      <c r="M12" s="27" t="s">
        <v>105</v>
      </c>
      <c r="N12">
        <f>IFERROR(VLOOKUP(M12,SwimMaleMaster[],4,FALSE),ROWS(SwimMaleMaster[])+5)</f>
        <v>12</v>
      </c>
      <c r="O12">
        <f>IFERROR(VLOOKUP(M12,RunMaleMaster[],4,FALSE),ROWS(RunMaleMaster[])+5)</f>
        <v>12</v>
      </c>
      <c r="P12">
        <f>IFERROR(VLOOKUP(M12,DuathlonMaleMaster[],11,FALSE),ROWS(DuathlonMaleMaster[])+5)</f>
        <v>8</v>
      </c>
      <c r="Q12">
        <f>IFERROR(VLOOKUP(M12,OpenWaterMaleMaster[],4,FALSE),ROWS(OpenWaterMaleMaster[])+5)</f>
        <v>11</v>
      </c>
      <c r="R12">
        <f>IFERROR(VLOOKUP(M12,TriathlonMaleMasters[],18,FALSE),ROWS(TriathlonMaleMasters[])+5)</f>
        <v>7</v>
      </c>
      <c r="S12">
        <f>IFERROR(VLOOKUP(M12,TimeTrialMaleMaster[],7,FALSE),ROWS(TimeTrialMaleMaster[])+5)</f>
        <v>2</v>
      </c>
      <c r="T12">
        <f>IFERROR(VLOOKUP(M12,AquatlonMaleMaster[],6,FALSE),ROWS(AquatlonMaleMaster[])+5)</f>
        <v>8</v>
      </c>
      <c r="U12">
        <f>IFERROR(VLOOKUP(M12,trailRunMaleMaster[],4,FALSE),ROWS(trailRunMaleMaster[])+5)</f>
        <v>9</v>
      </c>
      <c r="V12" cm="1">
        <f t="array" aca="1" ref="V12" ca="1">SUMPRODUCT(SMALL(N12:U12,ROW(INDIRECT("1:6"))))</f>
        <v>45</v>
      </c>
      <c r="W12">
        <f t="shared" ca="1" si="0"/>
        <v>8</v>
      </c>
    </row>
    <row r="13" spans="1:25" x14ac:dyDescent="0.55000000000000004">
      <c r="A13" s="29" t="s">
        <v>6</v>
      </c>
      <c r="B13">
        <f>IFERROR(VLOOKUP(A13,SwimMale[],4,FALSE),ROWS(SwimMale[])+5)</f>
        <v>3</v>
      </c>
      <c r="C13">
        <f>IFERROR(VLOOKUP(A13,RunMale[],4,FALSE),ROWS(RunMale[])+5)</f>
        <v>8</v>
      </c>
      <c r="D13">
        <f>IFERROR(VLOOKUP(A13,DuathlonMale[],11,FALSE),ROWS(DuathlonMale[])+5)</f>
        <v>17</v>
      </c>
      <c r="E13">
        <f>IFERROR(VLOOKUP(A13,OpenWaterMale[],4,FALSE),ROWS(OpenWaterMale[])+5)</f>
        <v>3</v>
      </c>
      <c r="F13">
        <f>IFERROR(VLOOKUP(A13,TriathlonMale[],18,FALSE),ROWS(TriathlonMale[])+5)</f>
        <v>14</v>
      </c>
      <c r="G13">
        <f>IFERROR(VLOOKUP(A13,TimeTrialMale[],7,FALSE),ROWS(TimeTrialMale[])+5)</f>
        <v>12</v>
      </c>
      <c r="H13">
        <f>IFERROR(VLOOKUP(A13,AquatlonMale[],6,FALSE),ROWS(AquatlonMale[])+5)</f>
        <v>14</v>
      </c>
      <c r="I13">
        <f>IFERROR(VLOOKUP(A13,trailRunMale[],4,FALSE),ROWS(trailRunMale[])+5)</f>
        <v>18</v>
      </c>
      <c r="J13" cm="1">
        <f t="array" aca="1" ref="J13" ca="1">SUMPRODUCT(SMALL(B13:I13,ROW(INDIRECT("1:6"))))</f>
        <v>54</v>
      </c>
      <c r="K13">
        <f ca="1">RANK(J13,$J$5:$J$37,1)</f>
        <v>9</v>
      </c>
      <c r="M13" s="33" t="s">
        <v>61</v>
      </c>
      <c r="N13">
        <f>IFERROR(VLOOKUP(M13,SwimMaleMaster[],4,FALSE),ROWS(SwimMaleMaster[])+5)</f>
        <v>12</v>
      </c>
      <c r="O13">
        <f>IFERROR(VLOOKUP(M13,RunMaleMaster[],4,FALSE),ROWS(RunMaleMaster[])+5)</f>
        <v>5</v>
      </c>
      <c r="P13">
        <f>IFERROR(VLOOKUP(M13,DuathlonMaleMaster[],11,FALSE),ROWS(DuathlonMaleMaster[])+5)</f>
        <v>8</v>
      </c>
      <c r="Q13">
        <f>IFERROR(VLOOKUP(M13,OpenWaterMaleMaster[],4,FALSE),ROWS(OpenWaterMaleMaster[])+5)</f>
        <v>11</v>
      </c>
      <c r="R13">
        <f>IFERROR(VLOOKUP(M13,TriathlonMaleMasters[],18,FALSE),ROWS(TriathlonMaleMasters[])+5)</f>
        <v>7</v>
      </c>
      <c r="S13">
        <f>IFERROR(VLOOKUP(M13,TimeTrialMaleMaster[],7,FALSE),ROWS(TimeTrialMaleMaster[])+5)</f>
        <v>10</v>
      </c>
      <c r="T13">
        <f>IFERROR(VLOOKUP(M13,AquatlonMaleMaster[],6,FALSE),ROWS(AquatlonMaleMaster[])+5)</f>
        <v>8</v>
      </c>
      <c r="U13">
        <f>IFERROR(VLOOKUP(M13,trailRunMaleMaster[],4,FALSE),ROWS(trailRunMaleMaster[])+5)</f>
        <v>9</v>
      </c>
      <c r="V13" cm="1">
        <f t="array" aca="1" ref="V13" ca="1">SUMPRODUCT(SMALL(N13:U13,ROW(INDIRECT("1:6"))))</f>
        <v>47</v>
      </c>
      <c r="W13">
        <f t="shared" ca="1" si="0"/>
        <v>10</v>
      </c>
    </row>
    <row r="14" spans="1:25" x14ac:dyDescent="0.55000000000000004">
      <c r="A14" s="17" t="s">
        <v>56</v>
      </c>
      <c r="B14">
        <f>IFERROR(VLOOKUP(A14,SwimMale[],4,FALSE),ROWS(SwimMale[])+5)</f>
        <v>26</v>
      </c>
      <c r="C14">
        <f>IFERROR(VLOOKUP(A14,RunMale[],4,FALSE),ROWS(RunMale[])+5)</f>
        <v>6</v>
      </c>
      <c r="D14">
        <f>IFERROR(VLOOKUP(A14,DuathlonMale[],11,FALSE),ROWS(DuathlonMale[])+5)</f>
        <v>5</v>
      </c>
      <c r="E14">
        <f>IFERROR(VLOOKUP(A14,OpenWaterMale[],4,FALSE),ROWS(OpenWaterMale[])+5)</f>
        <v>17</v>
      </c>
      <c r="F14">
        <f>IFERROR(VLOOKUP(A14,TriathlonMale[],18,FALSE),ROWS(TriathlonMale[])+5)</f>
        <v>14</v>
      </c>
      <c r="G14">
        <f>IFERROR(VLOOKUP(A14,TimeTrialMale[],7,FALSE),ROWS(TimeTrialMale[])+5)</f>
        <v>12</v>
      </c>
      <c r="H14">
        <f>IFERROR(VLOOKUP(A14,AquatlonMale[],6,FALSE),ROWS(AquatlonMale[])+5)</f>
        <v>14</v>
      </c>
      <c r="I14">
        <f>IFERROR(VLOOKUP(A14,trailRunMale[],4,FALSE),ROWS(trailRunMale[])+5)</f>
        <v>5</v>
      </c>
      <c r="J14" cm="1">
        <f t="array" aca="1" ref="J14" ca="1">SUMPRODUCT(SMALL(B14:I14,ROW(INDIRECT("1:6"))))</f>
        <v>56</v>
      </c>
      <c r="K14">
        <f ca="1">RANK(J14,$J$5:$J$37,1)</f>
        <v>10</v>
      </c>
      <c r="M14" s="27" t="s">
        <v>78</v>
      </c>
      <c r="N14">
        <f>IFERROR(VLOOKUP(M14,SwimMaleMaster[],4,FALSE),ROWS(SwimMaleMaster[])+5)</f>
        <v>12</v>
      </c>
      <c r="O14">
        <f>IFERROR(VLOOKUP(M14,RunMaleMaster[],4,FALSE),ROWS(RunMaleMaster[])+5)</f>
        <v>12</v>
      </c>
      <c r="P14">
        <f>IFERROR(VLOOKUP(M14,DuathlonMaleMaster[],11,FALSE),ROWS(DuathlonMaleMaster[])+5)</f>
        <v>8</v>
      </c>
      <c r="Q14">
        <f>IFERROR(VLOOKUP(M14,OpenWaterMaleMaster[],4,FALSE),ROWS(OpenWaterMaleMaster[])+5)</f>
        <v>4</v>
      </c>
      <c r="R14">
        <f>IFERROR(VLOOKUP(M14,TriathlonMaleMasters[],18,FALSE),ROWS(TriathlonMaleMasters[])+5)</f>
        <v>7</v>
      </c>
      <c r="S14">
        <f>IFERROR(VLOOKUP(M14,TimeTrialMaleMaster[],7,FALSE),ROWS(TimeTrialMaleMaster[])+5)</f>
        <v>10</v>
      </c>
      <c r="T14">
        <f>IFERROR(VLOOKUP(M14,AquatlonMaleMaster[],6,FALSE),ROWS(AquatlonMaleMaster[])+5)</f>
        <v>8</v>
      </c>
      <c r="U14">
        <f>IFERROR(VLOOKUP(M14,trailRunMaleMaster[],4,FALSE),ROWS(trailRunMaleMaster[])+5)</f>
        <v>9</v>
      </c>
      <c r="V14" cm="1">
        <f t="array" aca="1" ref="V14" ca="1">SUMPRODUCT(SMALL(N14:U14,ROW(INDIRECT("1:6"))))</f>
        <v>46</v>
      </c>
      <c r="W14">
        <f t="shared" ca="1" si="0"/>
        <v>9</v>
      </c>
    </row>
    <row r="15" spans="1:25" x14ac:dyDescent="0.55000000000000004">
      <c r="A15" s="13" t="s">
        <v>58</v>
      </c>
      <c r="B15">
        <f>IFERROR(VLOOKUP(A15,SwimMale[],4,FALSE),ROWS(SwimMale[])+5)</f>
        <v>26</v>
      </c>
      <c r="C15">
        <f>IFERROR(VLOOKUP(A15,RunMale[],4,FALSE),ROWS(RunMale[])+5)</f>
        <v>12</v>
      </c>
      <c r="D15">
        <f>IFERROR(VLOOKUP(A15,DuathlonMale[],11,FALSE),ROWS(DuathlonMale[])+5)</f>
        <v>17</v>
      </c>
      <c r="E15">
        <f>IFERROR(VLOOKUP(A15,OpenWaterMale[],4,FALSE),ROWS(OpenWaterMale[])+5)</f>
        <v>22</v>
      </c>
      <c r="F15">
        <f>IFERROR(VLOOKUP(A15,TriathlonMale[],18,FALSE),ROWS(TriathlonMale[])+5)</f>
        <v>6</v>
      </c>
      <c r="G15">
        <f>IFERROR(VLOOKUP(A15,TimeTrialMale[],7,FALSE),ROWS(TimeTrialMale[])+5)</f>
        <v>12</v>
      </c>
      <c r="H15">
        <f>IFERROR(VLOOKUP(A15,AquatlonMale[],6,FALSE),ROWS(AquatlonMale[])+5)</f>
        <v>5</v>
      </c>
      <c r="I15">
        <f>IFERROR(VLOOKUP(A15,trailRunMale[],4,FALSE),ROWS(trailRunMale[])+5)</f>
        <v>8</v>
      </c>
      <c r="J15" cm="1">
        <f t="array" aca="1" ref="J15" ca="1">SUMPRODUCT(SMALL(B15:I15,ROW(INDIRECT("1:6"))))</f>
        <v>60</v>
      </c>
      <c r="K15">
        <f ca="1">RANK(J15,$J$5:$J$37,1)</f>
        <v>11</v>
      </c>
      <c r="M15" s="27" t="s">
        <v>13</v>
      </c>
      <c r="N15">
        <f>IFERROR(VLOOKUP(M15,SwimMaleMaster[],4,FALSE),ROWS(SwimMaleMaster[])+5)</f>
        <v>6</v>
      </c>
      <c r="O15">
        <f>IFERROR(VLOOKUP(M15,RunMaleMaster[],4,FALSE),ROWS(RunMaleMaster[])+5)</f>
        <v>12</v>
      </c>
      <c r="P15">
        <f>IFERROR(VLOOKUP(M15,DuathlonMaleMaster[],11,FALSE),ROWS(DuathlonMaleMaster[])+5)</f>
        <v>8</v>
      </c>
      <c r="Q15">
        <f>IFERROR(VLOOKUP(M15,OpenWaterMaleMaster[],4,FALSE),ROWS(OpenWaterMaleMaster[])+5)</f>
        <v>11</v>
      </c>
      <c r="R15">
        <f>IFERROR(VLOOKUP(M15,TriathlonMaleMasters[],18,FALSE),ROWS(TriathlonMaleMasters[])+5)</f>
        <v>7</v>
      </c>
      <c r="S15">
        <f>IFERROR(VLOOKUP(M15,TimeTrialMaleMaster[],7,FALSE),ROWS(TimeTrialMaleMaster[])+5)</f>
        <v>10</v>
      </c>
      <c r="T15">
        <f>IFERROR(VLOOKUP(M15,AquatlonMaleMaster[],6,FALSE),ROWS(AquatlonMaleMaster[])+5)</f>
        <v>8</v>
      </c>
      <c r="U15">
        <f>IFERROR(VLOOKUP(M15,trailRunMaleMaster[],4,FALSE),ROWS(trailRunMaleMaster[])+5)</f>
        <v>9</v>
      </c>
      <c r="V15" cm="1">
        <f t="array" aca="1" ref="V15" ca="1">SUMPRODUCT(SMALL(N15:U15,ROW(INDIRECT("1:6"))))</f>
        <v>48</v>
      </c>
      <c r="W15">
        <f t="shared" ca="1" si="0"/>
        <v>11</v>
      </c>
    </row>
    <row r="16" spans="1:25" x14ac:dyDescent="0.55000000000000004">
      <c r="A16" s="12" t="s">
        <v>11</v>
      </c>
      <c r="B16">
        <f>IFERROR(VLOOKUP(A16,SwimMale[],4,FALSE),ROWS(SwimMale[])+5)</f>
        <v>14</v>
      </c>
      <c r="C16">
        <f>IFERROR(VLOOKUP(A16,RunMale[],4,FALSE),ROWS(RunMale[])+5)</f>
        <v>18</v>
      </c>
      <c r="D16">
        <f>IFERROR(VLOOKUP(A16,DuathlonMale[],11,FALSE),ROWS(DuathlonMale[])+5)</f>
        <v>10</v>
      </c>
      <c r="E16">
        <f>IFERROR(VLOOKUP(A16,OpenWaterMale[],4,FALSE),ROWS(OpenWaterMale[])+5)</f>
        <v>14</v>
      </c>
      <c r="F16">
        <f>IFERROR(VLOOKUP(A16,TriathlonMale[],18,FALSE),ROWS(TriathlonMale[])+5)</f>
        <v>8</v>
      </c>
      <c r="G16">
        <f>IFERROR(VLOOKUP(A16,TimeTrialMale[],7,FALSE),ROWS(TimeTrialMale[])+5)</f>
        <v>3</v>
      </c>
      <c r="H16">
        <f>IFERROR(VLOOKUP(A16,AquatlonMale[],6,FALSE),ROWS(AquatlonMale[])+5)</f>
        <v>14</v>
      </c>
      <c r="I16">
        <f>IFERROR(VLOOKUP(A16,trailRunMale[],4,FALSE),ROWS(trailRunMale[])+5)</f>
        <v>18</v>
      </c>
      <c r="J16" cm="1">
        <f t="array" aca="1" ref="J16" ca="1">SUMPRODUCT(SMALL(B16:I16,ROW(INDIRECT("1:6"))))</f>
        <v>63</v>
      </c>
      <c r="K16">
        <f ca="1">RANK(J16,$J$5:$J$37,1)</f>
        <v>12</v>
      </c>
      <c r="M16" s="27" t="s">
        <v>72</v>
      </c>
      <c r="N16">
        <f>IFERROR(VLOOKUP(M16,SwimMaleMaster[],4,FALSE),ROWS(SwimMaleMaster[])+5)</f>
        <v>12</v>
      </c>
      <c r="O16">
        <f>IFERROR(VLOOKUP(M16,RunMaleMaster[],4,FALSE),ROWS(RunMaleMaster[])+5)</f>
        <v>12</v>
      </c>
      <c r="P16">
        <f>IFERROR(VLOOKUP(M16,DuathlonMaleMaster[],11,FALSE),ROWS(DuathlonMaleMaster[])+5)</f>
        <v>3</v>
      </c>
      <c r="Q16">
        <f>IFERROR(VLOOKUP(M16,OpenWaterMaleMaster[],4,FALSE),ROWS(OpenWaterMaleMaster[])+5)</f>
        <v>11</v>
      </c>
      <c r="R16">
        <f>IFERROR(VLOOKUP(M16,TriathlonMaleMasters[],18,FALSE),ROWS(TriathlonMaleMasters[])+5)</f>
        <v>7</v>
      </c>
      <c r="S16">
        <f>IFERROR(VLOOKUP(M16,TimeTrialMaleMaster[],7,FALSE),ROWS(TimeTrialMaleMaster[])+5)</f>
        <v>10</v>
      </c>
      <c r="T16">
        <f>IFERROR(VLOOKUP(M16,AquatlonMaleMaster[],6,FALSE),ROWS(AquatlonMaleMaster[])+5)</f>
        <v>8</v>
      </c>
      <c r="U16">
        <f>IFERROR(VLOOKUP(M16,trailRunMaleMaster[],4,FALSE),ROWS(trailRunMaleMaster[])+5)</f>
        <v>9</v>
      </c>
      <c r="V16" cm="1">
        <f t="array" aca="1" ref="V16" ca="1">SUMPRODUCT(SMALL(N16:U16,ROW(INDIRECT("1:6"))))</f>
        <v>48</v>
      </c>
      <c r="W16">
        <f t="shared" ca="1" si="0"/>
        <v>11</v>
      </c>
    </row>
    <row r="17" spans="1:11" x14ac:dyDescent="0.55000000000000004">
      <c r="A17" s="17" t="s">
        <v>55</v>
      </c>
      <c r="B17">
        <f>IFERROR(VLOOKUP(A17,SwimMale[],4,FALSE),ROWS(SwimMale[])+5)</f>
        <v>26</v>
      </c>
      <c r="C17">
        <f>IFERROR(VLOOKUP(A17,RunMale[],4,FALSE),ROWS(RunMale[])+5)</f>
        <v>4</v>
      </c>
      <c r="D17">
        <f>IFERROR(VLOOKUP(A17,DuathlonMale[],11,FALSE),ROWS(DuathlonMale[])+5)</f>
        <v>4</v>
      </c>
      <c r="E17">
        <f>IFERROR(VLOOKUP(A17,OpenWaterMale[],4,FALSE),ROWS(OpenWaterMale[])+5)</f>
        <v>28</v>
      </c>
      <c r="F17">
        <f>IFERROR(VLOOKUP(A17,TriathlonMale[],18,FALSE),ROWS(TriathlonMale[])+5)</f>
        <v>14</v>
      </c>
      <c r="G17">
        <f>IFERROR(VLOOKUP(A17,TimeTrialMale[],7,FALSE),ROWS(TimeTrialMale[])+5)</f>
        <v>12</v>
      </c>
      <c r="H17">
        <f>IFERROR(VLOOKUP(A17,AquatlonMale[],6,FALSE),ROWS(AquatlonMale[])+5)</f>
        <v>14</v>
      </c>
      <c r="I17">
        <f>IFERROR(VLOOKUP(A17,trailRunMale[],4,FALSE),ROWS(trailRunMale[])+5)</f>
        <v>18</v>
      </c>
      <c r="J17" cm="1">
        <f t="array" aca="1" ref="J17" ca="1">SUMPRODUCT(SMALL(B17:I17,ROW(INDIRECT("1:6"))))</f>
        <v>66</v>
      </c>
      <c r="K17">
        <f ca="1">RANK(J17,$J$5:$J$37,1)</f>
        <v>13</v>
      </c>
    </row>
    <row r="18" spans="1:11" x14ac:dyDescent="0.55000000000000004">
      <c r="A18" s="12" t="s">
        <v>23</v>
      </c>
      <c r="B18">
        <f>IFERROR(VLOOKUP(A18,SwimMale[],4,FALSE),ROWS(SwimMale[])+5)</f>
        <v>20</v>
      </c>
      <c r="C18">
        <f>IFERROR(VLOOKUP(A18,RunMale[],4,FALSE),ROWS(RunMale[])+5)</f>
        <v>5</v>
      </c>
      <c r="D18">
        <f>IFERROR(VLOOKUP(A18,DuathlonMale[],11,FALSE),ROWS(DuathlonMale[])+5)</f>
        <v>17</v>
      </c>
      <c r="E18">
        <f>IFERROR(VLOOKUP(A18,OpenWaterMale[],4,FALSE),ROWS(OpenWaterMale[])+5)</f>
        <v>28</v>
      </c>
      <c r="F18">
        <f>IFERROR(VLOOKUP(A18,TriathlonMale[],18,FALSE),ROWS(TriathlonMale[])+5)</f>
        <v>14</v>
      </c>
      <c r="G18">
        <f>IFERROR(VLOOKUP(A18,TimeTrialMale[],7,FALSE),ROWS(TimeTrialMale[])+5)</f>
        <v>12</v>
      </c>
      <c r="H18">
        <f>IFERROR(VLOOKUP(A18,AquatlonMale[],6,FALSE),ROWS(AquatlonMale[])+5)</f>
        <v>14</v>
      </c>
      <c r="I18">
        <f>IFERROR(VLOOKUP(A18,trailRunMale[],4,FALSE),ROWS(trailRunMale[])+5)</f>
        <v>4</v>
      </c>
      <c r="J18" cm="1">
        <f t="array" aca="1" ref="J18" ca="1">SUMPRODUCT(SMALL(B18:I18,ROW(INDIRECT("1:6"))))</f>
        <v>66</v>
      </c>
      <c r="K18">
        <f ca="1">RANK(J18,$J$5:$J$37,1)</f>
        <v>13</v>
      </c>
    </row>
    <row r="19" spans="1:11" x14ac:dyDescent="0.55000000000000004">
      <c r="A19" s="29" t="s">
        <v>9</v>
      </c>
      <c r="B19">
        <f>IFERROR(VLOOKUP(A19,SwimMale[],4,FALSE),ROWS(SwimMale[])+5)</f>
        <v>16</v>
      </c>
      <c r="C19">
        <f>IFERROR(VLOOKUP(A19,RunMale[],4,FALSE),ROWS(RunMale[])+5)</f>
        <v>24</v>
      </c>
      <c r="D19">
        <f>IFERROR(VLOOKUP(A19,DuathlonMale[],11,FALSE),ROWS(DuathlonMale[])+5)</f>
        <v>17</v>
      </c>
      <c r="E19">
        <f>IFERROR(VLOOKUP(A19,OpenWaterMale[],4,FALSE),ROWS(OpenWaterMale[])+5)</f>
        <v>20</v>
      </c>
      <c r="F19">
        <f>IFERROR(VLOOKUP(A19,TriathlonMale[],18,FALSE),ROWS(TriathlonMale[])+5)</f>
        <v>5</v>
      </c>
      <c r="G19">
        <f>IFERROR(VLOOKUP(A19,TimeTrialMale[],7,FALSE),ROWS(TimeTrialMale[])+5)</f>
        <v>12</v>
      </c>
      <c r="H19">
        <f>IFERROR(VLOOKUP(A19,AquatlonMale[],6,FALSE),ROWS(AquatlonMale[])+5)</f>
        <v>14</v>
      </c>
      <c r="I19">
        <f>IFERROR(VLOOKUP(A19,trailRunMale[],4,FALSE),ROWS(trailRunMale[])+5)</f>
        <v>3</v>
      </c>
      <c r="J19" cm="1">
        <f t="array" aca="1" ref="J19" ca="1">SUMPRODUCT(SMALL(B19:I19,ROW(INDIRECT("1:6"))))</f>
        <v>67</v>
      </c>
      <c r="K19">
        <f ca="1">RANK(J19,$J$5:$J$37,1)</f>
        <v>15</v>
      </c>
    </row>
    <row r="20" spans="1:11" x14ac:dyDescent="0.55000000000000004">
      <c r="A20" s="13" t="s">
        <v>24</v>
      </c>
      <c r="B20">
        <f>IFERROR(VLOOKUP(A20,SwimMale[],4,FALSE),ROWS(SwimMale[])+5)</f>
        <v>17</v>
      </c>
      <c r="C20">
        <f>IFERROR(VLOOKUP(A20,RunMale[],4,FALSE),ROWS(RunMale[])+5)</f>
        <v>17</v>
      </c>
      <c r="D20">
        <f>IFERROR(VLOOKUP(A20,DuathlonMale[],11,FALSE),ROWS(DuathlonMale[])+5)</f>
        <v>17</v>
      </c>
      <c r="E20">
        <f>IFERROR(VLOOKUP(A20,OpenWaterMale[],4,FALSE),ROWS(OpenWaterMale[])+5)</f>
        <v>16</v>
      </c>
      <c r="F20">
        <f>IFERROR(VLOOKUP(A20,TriathlonMale[],18,FALSE),ROWS(TriathlonMale[])+5)</f>
        <v>9</v>
      </c>
      <c r="G20">
        <f>IFERROR(VLOOKUP(A20,TimeTrialMale[],7,FALSE),ROWS(TimeTrialMale[])+5)</f>
        <v>7</v>
      </c>
      <c r="H20">
        <f>IFERROR(VLOOKUP(A20,AquatlonMale[],6,FALSE),ROWS(AquatlonMale[])+5)</f>
        <v>9</v>
      </c>
      <c r="I20">
        <f>IFERROR(VLOOKUP(A20,trailRunMale[],4,FALSE),ROWS(trailRunMale[])+5)</f>
        <v>10</v>
      </c>
      <c r="J20" cm="1">
        <f t="array" aca="1" ref="J20" ca="1">SUMPRODUCT(SMALL(B20:I20,ROW(INDIRECT("1:6"))))</f>
        <v>68</v>
      </c>
      <c r="K20">
        <f ca="1">RANK(J20,$J$5:$J$37,1)</f>
        <v>16</v>
      </c>
    </row>
    <row r="21" spans="1:11" x14ac:dyDescent="0.55000000000000004">
      <c r="A21" s="17" t="s">
        <v>22</v>
      </c>
      <c r="B21">
        <f>IFERROR(VLOOKUP(A21,SwimMale[],4,FALSE),ROWS(SwimMale[])+5)</f>
        <v>5</v>
      </c>
      <c r="C21">
        <f>IFERROR(VLOOKUP(A21,RunMale[],4,FALSE),ROWS(RunMale[])+5)</f>
        <v>19</v>
      </c>
      <c r="D21">
        <f>IFERROR(VLOOKUP(A21,DuathlonMale[],11,FALSE),ROWS(DuathlonMale[])+5)</f>
        <v>17</v>
      </c>
      <c r="E21">
        <f>IFERROR(VLOOKUP(A21,OpenWaterMale[],4,FALSE),ROWS(OpenWaterMale[])+5)</f>
        <v>7</v>
      </c>
      <c r="F21">
        <f>IFERROR(VLOOKUP(A21,TriathlonMale[],18,FALSE),ROWS(TriathlonMale[])+5)</f>
        <v>14</v>
      </c>
      <c r="G21">
        <f>IFERROR(VLOOKUP(A21,TimeTrialMale[],7,FALSE),ROWS(TimeTrialMale[])+5)</f>
        <v>12</v>
      </c>
      <c r="H21">
        <f>IFERROR(VLOOKUP(A21,AquatlonMale[],6,FALSE),ROWS(AquatlonMale[])+5)</f>
        <v>14</v>
      </c>
      <c r="I21">
        <f>IFERROR(VLOOKUP(A21,trailRunMale[],4,FALSE),ROWS(trailRunMale[])+5)</f>
        <v>18</v>
      </c>
      <c r="J21" cm="1">
        <f t="array" aca="1" ref="J21" ca="1">SUMPRODUCT(SMALL(B21:I21,ROW(INDIRECT("1:6"))))</f>
        <v>69</v>
      </c>
      <c r="K21">
        <f ca="1">RANK(J21,$J$5:$J$37,1)</f>
        <v>17</v>
      </c>
    </row>
    <row r="22" spans="1:11" x14ac:dyDescent="0.55000000000000004">
      <c r="A22" s="29" t="s">
        <v>19</v>
      </c>
      <c r="B22">
        <f>IFERROR(VLOOKUP(A22,SwimMale[],4,FALSE),ROWS(SwimMale[])+5)</f>
        <v>12</v>
      </c>
      <c r="C22">
        <f>IFERROR(VLOOKUP(A22,RunMale[],4,FALSE),ROWS(RunMale[])+5)</f>
        <v>24</v>
      </c>
      <c r="D22">
        <f>IFERROR(VLOOKUP(A22,DuathlonMale[],11,FALSE),ROWS(DuathlonMale[])+5)</f>
        <v>8</v>
      </c>
      <c r="E22">
        <f>IFERROR(VLOOKUP(A22,OpenWaterMale[],4,FALSE),ROWS(OpenWaterMale[])+5)</f>
        <v>18</v>
      </c>
      <c r="F22">
        <f>IFERROR(VLOOKUP(A22,TriathlonMale[],18,FALSE),ROWS(TriathlonMale[])+5)</f>
        <v>14</v>
      </c>
      <c r="G22">
        <f>IFERROR(VLOOKUP(A22,TimeTrialMale[],7,FALSE),ROWS(TimeTrialMale[])+5)</f>
        <v>12</v>
      </c>
      <c r="H22">
        <f>IFERROR(VLOOKUP(A22,AquatlonMale[],6,FALSE),ROWS(AquatlonMale[])+5)</f>
        <v>14</v>
      </c>
      <c r="I22">
        <f>IFERROR(VLOOKUP(A22,trailRunMale[],4,FALSE),ROWS(trailRunMale[])+5)</f>
        <v>9</v>
      </c>
      <c r="J22" cm="1">
        <f t="array" aca="1" ref="J22" ca="1">SUMPRODUCT(SMALL(B22:I22,ROW(INDIRECT("1:6"))))</f>
        <v>69</v>
      </c>
      <c r="K22">
        <f ca="1">RANK(J22,$J$5:$J$37,1)</f>
        <v>17</v>
      </c>
    </row>
    <row r="23" spans="1:11" x14ac:dyDescent="0.55000000000000004">
      <c r="A23" s="17" t="s">
        <v>21</v>
      </c>
      <c r="B23">
        <f>IFERROR(VLOOKUP(A23,SwimMale[],4,FALSE),ROWS(SwimMale[])+5)</f>
        <v>13</v>
      </c>
      <c r="C23">
        <f>IFERROR(VLOOKUP(A23,RunMale[],4,FALSE),ROWS(RunMale[])+5)</f>
        <v>24</v>
      </c>
      <c r="D23">
        <f>IFERROR(VLOOKUP(A23,DuathlonMale[],11,FALSE),ROWS(DuathlonMale[])+5)</f>
        <v>17</v>
      </c>
      <c r="E23">
        <f>IFERROR(VLOOKUP(A23,OpenWaterMale[],4,FALSE),ROWS(OpenWaterMale[])+5)</f>
        <v>12</v>
      </c>
      <c r="F23">
        <f>IFERROR(VLOOKUP(A23,TriathlonMale[],18,FALSE),ROWS(TriathlonMale[])+5)</f>
        <v>14</v>
      </c>
      <c r="G23">
        <f>IFERROR(VLOOKUP(A23,TimeTrialMale[],7,FALSE),ROWS(TimeTrialMale[])+5)</f>
        <v>5</v>
      </c>
      <c r="H23">
        <f>IFERROR(VLOOKUP(A23,AquatlonMale[],6,FALSE),ROWS(AquatlonMale[])+5)</f>
        <v>14</v>
      </c>
      <c r="I23">
        <f>IFERROR(VLOOKUP(A23,trailRunMale[],4,FALSE),ROWS(trailRunMale[])+5)</f>
        <v>18</v>
      </c>
      <c r="J23" cm="1">
        <f t="array" aca="1" ref="J23" ca="1">SUMPRODUCT(SMALL(B23:I23,ROW(INDIRECT("1:6"))))</f>
        <v>75</v>
      </c>
      <c r="K23">
        <f ca="1">RANK(J23,$J$5:$J$37,1)</f>
        <v>19</v>
      </c>
    </row>
    <row r="24" spans="1:11" x14ac:dyDescent="0.55000000000000004">
      <c r="A24" s="26" t="s">
        <v>8</v>
      </c>
      <c r="B24">
        <f>IFERROR(VLOOKUP(A24,SwimMale[],4,FALSE),ROWS(SwimMale[])+5)</f>
        <v>21</v>
      </c>
      <c r="C24">
        <f>IFERROR(VLOOKUP(A24,RunMale[],4,FALSE),ROWS(RunMale[])+5)</f>
        <v>11</v>
      </c>
      <c r="D24">
        <f>IFERROR(VLOOKUP(A24,DuathlonMale[],11,FALSE),ROWS(DuathlonMale[])+5)</f>
        <v>7</v>
      </c>
      <c r="E24">
        <f>IFERROR(VLOOKUP(A24,OpenWaterMale[],4,FALSE),ROWS(OpenWaterMale[])+5)</f>
        <v>23</v>
      </c>
      <c r="F24">
        <f>IFERROR(VLOOKUP(A24,TriathlonMale[],18,FALSE),ROWS(TriathlonMale[])+5)</f>
        <v>14</v>
      </c>
      <c r="G24">
        <f>IFERROR(VLOOKUP(A24,TimeTrialMale[],7,FALSE),ROWS(TimeTrialMale[])+5)</f>
        <v>12</v>
      </c>
      <c r="H24">
        <f>IFERROR(VLOOKUP(A24,AquatlonMale[],6,FALSE),ROWS(AquatlonMale[])+5)</f>
        <v>14</v>
      </c>
      <c r="I24">
        <f>IFERROR(VLOOKUP(A24,trailRunMale[],4,FALSE),ROWS(trailRunMale[])+5)</f>
        <v>18</v>
      </c>
      <c r="J24" cm="1">
        <f t="array" aca="1" ref="J24" ca="1">SUMPRODUCT(SMALL(B24:I24,ROW(INDIRECT("1:6"))))</f>
        <v>76</v>
      </c>
      <c r="K24">
        <f ca="1">RANK(J24,$J$5:$J$37,1)</f>
        <v>20</v>
      </c>
    </row>
    <row r="25" spans="1:11" x14ac:dyDescent="0.55000000000000004">
      <c r="A25" s="58" t="s">
        <v>7</v>
      </c>
      <c r="B25">
        <f>IFERROR(VLOOKUP(A25,SwimMale[],4,FALSE),ROWS(SwimMale[])+5)</f>
        <v>10</v>
      </c>
      <c r="C25">
        <f>IFERROR(VLOOKUP(A25,RunMale[],4,FALSE),ROWS(RunMale[])+5)</f>
        <v>24</v>
      </c>
      <c r="D25">
        <f>IFERROR(VLOOKUP(A25,DuathlonMale[],11,FALSE),ROWS(DuathlonMale[])+5)</f>
        <v>17</v>
      </c>
      <c r="E25">
        <f>IFERROR(VLOOKUP(A25,OpenWaterMale[],4,FALSE),ROWS(OpenWaterMale[])+5)</f>
        <v>10</v>
      </c>
      <c r="F25">
        <f>IFERROR(VLOOKUP(A25,TriathlonMale[],18,FALSE),ROWS(TriathlonMale[])+5)</f>
        <v>14</v>
      </c>
      <c r="G25">
        <f>IFERROR(VLOOKUP(A25,TimeTrialMale[],7,FALSE),ROWS(TimeTrialMale[])+5)</f>
        <v>12</v>
      </c>
      <c r="H25">
        <f>IFERROR(VLOOKUP(A25,AquatlonMale[],6,FALSE),ROWS(AquatlonMale[])+5)</f>
        <v>14</v>
      </c>
      <c r="I25">
        <f>IFERROR(VLOOKUP(A25,trailRunMale[],4,FALSE),ROWS(trailRunMale[])+5)</f>
        <v>18</v>
      </c>
      <c r="J25" cm="1">
        <f t="array" aca="1" ref="J25" ca="1">SUMPRODUCT(SMALL(B25:I25,ROW(INDIRECT("1:6"))))</f>
        <v>77</v>
      </c>
      <c r="K25">
        <f ca="1">RANK(J25,$J$5:$J$37,1)</f>
        <v>21</v>
      </c>
    </row>
    <row r="26" spans="1:11" x14ac:dyDescent="0.55000000000000004">
      <c r="A26" s="26" t="s">
        <v>60</v>
      </c>
      <c r="B26">
        <f>IFERROR(VLOOKUP(A26,SwimMale[],4,FALSE),ROWS(SwimMale[])+5)</f>
        <v>26</v>
      </c>
      <c r="C26">
        <f>IFERROR(VLOOKUP(A26,RunMale[],4,FALSE),ROWS(RunMale[])+5)</f>
        <v>14</v>
      </c>
      <c r="D26">
        <f>IFERROR(VLOOKUP(A26,DuathlonMale[],11,FALSE),ROWS(DuathlonMale[])+5)</f>
        <v>17</v>
      </c>
      <c r="E26">
        <f>IFERROR(VLOOKUP(A26,OpenWaterMale[],4,FALSE),ROWS(OpenWaterMale[])+5)</f>
        <v>28</v>
      </c>
      <c r="F26">
        <f>IFERROR(VLOOKUP(A26,TriathlonMale[],18,FALSE),ROWS(TriathlonMale[])+5)</f>
        <v>14</v>
      </c>
      <c r="G26">
        <f>IFERROR(VLOOKUP(A26,TimeTrialMale[],7,FALSE),ROWS(TimeTrialMale[])+5)</f>
        <v>12</v>
      </c>
      <c r="H26">
        <f>IFERROR(VLOOKUP(A26,AquatlonMale[],6,FALSE),ROWS(AquatlonMale[])+5)</f>
        <v>14</v>
      </c>
      <c r="I26">
        <f>IFERROR(VLOOKUP(A26,trailRunMale[],4,FALSE),ROWS(trailRunMale[])+5)</f>
        <v>11</v>
      </c>
      <c r="J26" cm="1">
        <f t="array" aca="1" ref="J26" ca="1">SUMPRODUCT(SMALL(B26:I26,ROW(INDIRECT("1:6"))))</f>
        <v>82</v>
      </c>
      <c r="K26">
        <f ca="1">RANK(J26,$J$5:$J$37,1)</f>
        <v>22</v>
      </c>
    </row>
    <row r="27" spans="1:11" x14ac:dyDescent="0.55000000000000004">
      <c r="A27" s="26" t="s">
        <v>71</v>
      </c>
      <c r="B27">
        <f>IFERROR(VLOOKUP(A27,SwimMale[],4,FALSE),ROWS(SwimMale[])+5)</f>
        <v>26</v>
      </c>
      <c r="C27">
        <f>IFERROR(VLOOKUP(A27,RunMale[],4,FALSE),ROWS(RunMale[])+5)</f>
        <v>24</v>
      </c>
      <c r="D27">
        <f>IFERROR(VLOOKUP(A27,DuathlonMale[],11,FALSE),ROWS(DuathlonMale[])+5)</f>
        <v>9</v>
      </c>
      <c r="E27">
        <f>IFERROR(VLOOKUP(A27,OpenWaterMale[],4,FALSE),ROWS(OpenWaterMale[])+5)</f>
        <v>19</v>
      </c>
      <c r="F27">
        <f>IFERROR(VLOOKUP(A27,TriathlonMale[],18,FALSE),ROWS(TriathlonMale[])+5)</f>
        <v>14</v>
      </c>
      <c r="G27">
        <f>IFERROR(VLOOKUP(A27,TimeTrialMale[],7,FALSE),ROWS(TimeTrialMale[])+5)</f>
        <v>12</v>
      </c>
      <c r="H27">
        <f>IFERROR(VLOOKUP(A27,AquatlonMale[],6,FALSE),ROWS(AquatlonMale[])+5)</f>
        <v>14</v>
      </c>
      <c r="I27">
        <f>IFERROR(VLOOKUP(A27,trailRunMale[],4,FALSE),ROWS(trailRunMale[])+5)</f>
        <v>18</v>
      </c>
      <c r="J27" cm="1">
        <f t="array" aca="1" ref="J27" ca="1">SUMPRODUCT(SMALL(B27:I27,ROW(INDIRECT("1:6"))))</f>
        <v>86</v>
      </c>
      <c r="K27">
        <f ca="1">RANK(J27,$J$5:$J$37,1)</f>
        <v>23</v>
      </c>
    </row>
    <row r="28" spans="1:11" x14ac:dyDescent="0.55000000000000004">
      <c r="A28" s="30" t="s">
        <v>15</v>
      </c>
      <c r="B28">
        <f>IFERROR(VLOOKUP(A28,SwimMale[],4,FALSE),ROWS(SwimMale[])+5)</f>
        <v>11</v>
      </c>
      <c r="C28">
        <f>IFERROR(VLOOKUP(A28,RunMale[],4,FALSE),ROWS(RunMale[])+5)</f>
        <v>24</v>
      </c>
      <c r="D28">
        <f>IFERROR(VLOOKUP(A28,DuathlonMale[],11,FALSE),ROWS(DuathlonMale[])+5)</f>
        <v>17</v>
      </c>
      <c r="E28">
        <f>IFERROR(VLOOKUP(A28,OpenWaterMale[],4,FALSE),ROWS(OpenWaterMale[])+5)</f>
        <v>28</v>
      </c>
      <c r="F28">
        <f>IFERROR(VLOOKUP(A28,TriathlonMale[],18,FALSE),ROWS(TriathlonMale[])+5)</f>
        <v>14</v>
      </c>
      <c r="G28">
        <f>IFERROR(VLOOKUP(A28,TimeTrialMale[],7,FALSE),ROWS(TimeTrialMale[])+5)</f>
        <v>12</v>
      </c>
      <c r="H28">
        <f>IFERROR(VLOOKUP(A28,AquatlonMale[],6,FALSE),ROWS(AquatlonMale[])+5)</f>
        <v>14</v>
      </c>
      <c r="I28">
        <f>IFERROR(VLOOKUP(A28,trailRunMale[],4,FALSE),ROWS(trailRunMale[])+5)</f>
        <v>18</v>
      </c>
      <c r="J28" cm="1">
        <f t="array" aca="1" ref="J28" ca="1">SUMPRODUCT(SMALL(B28:I28,ROW(INDIRECT("1:6"))))</f>
        <v>86</v>
      </c>
      <c r="K28">
        <f ca="1">RANK(J28,$J$5:$J$37,1)</f>
        <v>23</v>
      </c>
    </row>
    <row r="29" spans="1:11" x14ac:dyDescent="0.55000000000000004">
      <c r="A29" s="26" t="s">
        <v>111</v>
      </c>
      <c r="B29">
        <f>IFERROR(VLOOKUP(A29,SwimMale[],4,FALSE),ROWS(SwimMale[])+5)</f>
        <v>26</v>
      </c>
      <c r="C29">
        <f>IFERROR(VLOOKUP(A29,RunMale[],4,FALSE),ROWS(RunMale[])+5)</f>
        <v>24</v>
      </c>
      <c r="D29">
        <f>IFERROR(VLOOKUP(A29,DuathlonMale[],11,FALSE),ROWS(DuathlonMale[])+5)</f>
        <v>17</v>
      </c>
      <c r="E29">
        <f>IFERROR(VLOOKUP(A29,OpenWaterMale[],4,FALSE),ROWS(OpenWaterMale[])+5)</f>
        <v>28</v>
      </c>
      <c r="F29">
        <f>IFERROR(VLOOKUP(A29,TriathlonMale[],18,FALSE),ROWS(TriathlonMale[])+5)</f>
        <v>14</v>
      </c>
      <c r="G29">
        <f>IFERROR(VLOOKUP(A29,TimeTrialMale[],7,FALSE),ROWS(TimeTrialMale[])+5)</f>
        <v>12</v>
      </c>
      <c r="H29">
        <f>IFERROR(VLOOKUP(A29,AquatlonMale[],6,FALSE),ROWS(AquatlonMale[])+5)</f>
        <v>2</v>
      </c>
      <c r="I29">
        <f>IFERROR(VLOOKUP(A29,trailRunMale[],4,FALSE),ROWS(trailRunMale[])+5)</f>
        <v>18</v>
      </c>
      <c r="J29" cm="1">
        <f t="array" aca="1" ref="J29" ca="1">SUMPRODUCT(SMALL(B29:I29,ROW(INDIRECT("1:6"))))</f>
        <v>87</v>
      </c>
      <c r="K29">
        <f ca="1">RANK(J29,$J$5:$J$37,1)</f>
        <v>25</v>
      </c>
    </row>
    <row r="30" spans="1:11" x14ac:dyDescent="0.55000000000000004">
      <c r="A30" s="26" t="s">
        <v>10</v>
      </c>
      <c r="B30">
        <f>IFERROR(VLOOKUP(A30,SwimMale[],4,FALSE),ROWS(SwimMale[])+5)</f>
        <v>15</v>
      </c>
      <c r="C30">
        <f>IFERROR(VLOOKUP(A30,RunMale[],4,FALSE),ROWS(RunMale[])+5)</f>
        <v>16</v>
      </c>
      <c r="D30">
        <f>IFERROR(VLOOKUP(A30,DuathlonMale[],11,FALSE),ROWS(DuathlonMale[])+5)</f>
        <v>17</v>
      </c>
      <c r="E30">
        <f>IFERROR(VLOOKUP(A30,OpenWaterMale[],4,FALSE),ROWS(OpenWaterMale[])+5)</f>
        <v>28</v>
      </c>
      <c r="F30">
        <f>IFERROR(VLOOKUP(A30,TriathlonMale[],18,FALSE),ROWS(TriathlonMale[])+5)</f>
        <v>14</v>
      </c>
      <c r="G30">
        <f>IFERROR(VLOOKUP(A30,TimeTrialMale[],7,FALSE),ROWS(TimeTrialMale[])+5)</f>
        <v>12</v>
      </c>
      <c r="H30">
        <f>IFERROR(VLOOKUP(A30,AquatlonMale[],6,FALSE),ROWS(AquatlonMale[])+5)</f>
        <v>14</v>
      </c>
      <c r="I30">
        <f>IFERROR(VLOOKUP(A30,trailRunMale[],4,FALSE),ROWS(trailRunMale[])+5)</f>
        <v>18</v>
      </c>
      <c r="J30" cm="1">
        <f t="array" aca="1" ref="J30" ca="1">SUMPRODUCT(SMALL(B30:I30,ROW(INDIRECT("1:6"))))</f>
        <v>88</v>
      </c>
      <c r="K30">
        <f ca="1">RANK(J30,$J$5:$J$37,1)</f>
        <v>26</v>
      </c>
    </row>
    <row r="31" spans="1:11" x14ac:dyDescent="0.55000000000000004">
      <c r="A31" s="30" t="s">
        <v>59</v>
      </c>
      <c r="B31">
        <f>IFERROR(VLOOKUP(A31,SwimMale[],4,FALSE),ROWS(SwimMale[])+5)</f>
        <v>26</v>
      </c>
      <c r="C31">
        <f>IFERROR(VLOOKUP(A31,RunMale[],4,FALSE),ROWS(RunMale[])+5)</f>
        <v>13</v>
      </c>
      <c r="D31">
        <f>IFERROR(VLOOKUP(A31,DuathlonMale[],11,FALSE),ROWS(DuathlonMale[])+5)</f>
        <v>17</v>
      </c>
      <c r="E31">
        <f>IFERROR(VLOOKUP(A31,OpenWaterMale[],4,FALSE),ROWS(OpenWaterMale[])+5)</f>
        <v>21</v>
      </c>
      <c r="F31">
        <f>IFERROR(VLOOKUP(A31,TriathlonMale[],18,FALSE),ROWS(TriathlonMale[])+5)</f>
        <v>14</v>
      </c>
      <c r="G31">
        <f>IFERROR(VLOOKUP(A31,TimeTrialMale[],7,FALSE),ROWS(TimeTrialMale[])+5)</f>
        <v>12</v>
      </c>
      <c r="H31">
        <f>IFERROR(VLOOKUP(A31,AquatlonMale[],6,FALSE),ROWS(AquatlonMale[])+5)</f>
        <v>14</v>
      </c>
      <c r="I31">
        <f>IFERROR(VLOOKUP(A31,trailRunMale[],4,FALSE),ROWS(trailRunMale[])+5)</f>
        <v>18</v>
      </c>
      <c r="J31" cm="1">
        <f t="array" aca="1" ref="J31" ca="1">SUMPRODUCT(SMALL(B31:I31,ROW(INDIRECT("1:6"))))</f>
        <v>88</v>
      </c>
      <c r="K31">
        <f ca="1">RANK(J31,$J$5:$J$37,1)</f>
        <v>26</v>
      </c>
    </row>
    <row r="32" spans="1:11" x14ac:dyDescent="0.55000000000000004">
      <c r="A32" s="26" t="s">
        <v>78</v>
      </c>
      <c r="B32">
        <f>IFERROR(VLOOKUP(A32,SwimMale[],4,FALSE),ROWS(SwimMale[])+5)</f>
        <v>26</v>
      </c>
      <c r="C32">
        <f>IFERROR(VLOOKUP(A32,RunMale[],4,FALSE),ROWS(RunMale[])+5)</f>
        <v>24</v>
      </c>
      <c r="D32">
        <f>IFERROR(VLOOKUP(A32,DuathlonMale[],11,FALSE),ROWS(DuathlonMale[])+5)</f>
        <v>17</v>
      </c>
      <c r="E32">
        <f>IFERROR(VLOOKUP(A32,OpenWaterMale[],4,FALSE),ROWS(OpenWaterMale[])+5)</f>
        <v>15</v>
      </c>
      <c r="F32">
        <f>IFERROR(VLOOKUP(A32,TriathlonMale[],18,FALSE),ROWS(TriathlonMale[])+5)</f>
        <v>14</v>
      </c>
      <c r="G32">
        <f>IFERROR(VLOOKUP(A32,TimeTrialMale[],7,FALSE),ROWS(TimeTrialMale[])+5)</f>
        <v>12</v>
      </c>
      <c r="H32">
        <f>IFERROR(VLOOKUP(A32,AquatlonMale[],6,FALSE),ROWS(AquatlonMale[])+5)</f>
        <v>14</v>
      </c>
      <c r="I32">
        <f>IFERROR(VLOOKUP(A32,trailRunMale[],4,FALSE),ROWS(trailRunMale[])+5)</f>
        <v>18</v>
      </c>
      <c r="J32" cm="1">
        <f t="array" aca="1" ref="J32" ca="1">SUMPRODUCT(SMALL(B32:I32,ROW(INDIRECT("1:6"))))</f>
        <v>90</v>
      </c>
      <c r="K32">
        <f ca="1">RANK(J32,$J$5:$J$37,1)</f>
        <v>28</v>
      </c>
    </row>
    <row r="33" spans="1:25" x14ac:dyDescent="0.55000000000000004">
      <c r="A33" s="30" t="s">
        <v>61</v>
      </c>
      <c r="B33">
        <f>IFERROR(VLOOKUP(A33,SwimMale[],4,FALSE),ROWS(SwimMale[])+5)</f>
        <v>26</v>
      </c>
      <c r="C33">
        <f>IFERROR(VLOOKUP(A33,RunMale[],4,FALSE),ROWS(RunMale[])+5)</f>
        <v>15</v>
      </c>
      <c r="D33">
        <f>IFERROR(VLOOKUP(A33,DuathlonMale[],11,FALSE),ROWS(DuathlonMale[])+5)</f>
        <v>17</v>
      </c>
      <c r="E33">
        <f>IFERROR(VLOOKUP(A33,OpenWaterMale[],4,FALSE),ROWS(OpenWaterMale[])+5)</f>
        <v>28</v>
      </c>
      <c r="F33">
        <f>IFERROR(VLOOKUP(A33,TriathlonMale[],18,FALSE),ROWS(TriathlonMale[])+5)</f>
        <v>14</v>
      </c>
      <c r="G33">
        <f>IFERROR(VLOOKUP(A33,TimeTrialMale[],7,FALSE),ROWS(TimeTrialMale[])+5)</f>
        <v>12</v>
      </c>
      <c r="H33">
        <f>IFERROR(VLOOKUP(A33,AquatlonMale[],6,FALSE),ROWS(AquatlonMale[])+5)</f>
        <v>14</v>
      </c>
      <c r="I33">
        <f>IFERROR(VLOOKUP(A33,trailRunMale[],4,FALSE),ROWS(trailRunMale[])+5)</f>
        <v>18</v>
      </c>
      <c r="J33" cm="1">
        <f t="array" aca="1" ref="J33" ca="1">SUMPRODUCT(SMALL(B33:I33,ROW(INDIRECT("1:6"))))</f>
        <v>90</v>
      </c>
      <c r="K33">
        <f ca="1">RANK(J33,$J$5:$J$37,1)</f>
        <v>28</v>
      </c>
    </row>
    <row r="34" spans="1:25" x14ac:dyDescent="0.55000000000000004">
      <c r="A34" s="31" t="s">
        <v>16</v>
      </c>
      <c r="B34">
        <f>IFERROR(VLOOKUP(A34,SwimMale[],4,FALSE),ROWS(SwimMale[])+5)</f>
        <v>18</v>
      </c>
      <c r="C34">
        <f>IFERROR(VLOOKUP(A34,RunMale[],4,FALSE),ROWS(RunMale[])+5)</f>
        <v>24</v>
      </c>
      <c r="D34">
        <f>IFERROR(VLOOKUP(A34,DuathlonMale[],11,FALSE),ROWS(DuathlonMale[])+5)</f>
        <v>17</v>
      </c>
      <c r="E34">
        <f>IFERROR(VLOOKUP(A34,OpenWaterMale[],4,FALSE),ROWS(OpenWaterMale[])+5)</f>
        <v>28</v>
      </c>
      <c r="F34">
        <f>IFERROR(VLOOKUP(A34,TriathlonMale[],18,FALSE),ROWS(TriathlonMale[])+5)</f>
        <v>14</v>
      </c>
      <c r="G34">
        <f>IFERROR(VLOOKUP(A34,TimeTrialMale[],7,FALSE),ROWS(TimeTrialMale[])+5)</f>
        <v>12</v>
      </c>
      <c r="H34">
        <f>IFERROR(VLOOKUP(A34,AquatlonMale[],6,FALSE),ROWS(AquatlonMale[])+5)</f>
        <v>14</v>
      </c>
      <c r="I34">
        <f>IFERROR(VLOOKUP(A34,trailRunMale[],4,FALSE),ROWS(trailRunMale[])+5)</f>
        <v>18</v>
      </c>
      <c r="J34" cm="1">
        <f t="array" aca="1" ref="J34" ca="1">SUMPRODUCT(SMALL(B34:I34,ROW(INDIRECT("1:6"))))</f>
        <v>93</v>
      </c>
      <c r="K34">
        <f ca="1">RANK(J34,$J$5:$J$37,1)</f>
        <v>30</v>
      </c>
    </row>
    <row r="35" spans="1:25" x14ac:dyDescent="0.55000000000000004">
      <c r="A35" s="26" t="s">
        <v>72</v>
      </c>
      <c r="B35">
        <f>IFERROR(VLOOKUP(A35,SwimMale[],4,FALSE),ROWS(SwimMale[])+5)</f>
        <v>26</v>
      </c>
      <c r="C35">
        <f>IFERROR(VLOOKUP(A35,RunMale[],4,FALSE),ROWS(RunMale[])+5)</f>
        <v>24</v>
      </c>
      <c r="D35">
        <f>IFERROR(VLOOKUP(A35,DuathlonMale[],11,FALSE),ROWS(DuathlonMale[])+5)</f>
        <v>11</v>
      </c>
      <c r="E35">
        <f>IFERROR(VLOOKUP(A35,OpenWaterMale[],4,FALSE),ROWS(OpenWaterMale[])+5)</f>
        <v>28</v>
      </c>
      <c r="F35">
        <f>IFERROR(VLOOKUP(A35,TriathlonMale[],18,FALSE),ROWS(TriathlonMale[])+5)</f>
        <v>14</v>
      </c>
      <c r="G35">
        <f>IFERROR(VLOOKUP(A35,TimeTrialMale[],7,FALSE),ROWS(TimeTrialMale[])+5)</f>
        <v>12</v>
      </c>
      <c r="H35">
        <f>IFERROR(VLOOKUP(A35,AquatlonMale[],6,FALSE),ROWS(AquatlonMale[])+5)</f>
        <v>14</v>
      </c>
      <c r="I35">
        <f>IFERROR(VLOOKUP(A35,trailRunMale[],4,FALSE),ROWS(trailRunMale[])+5)</f>
        <v>18</v>
      </c>
      <c r="J35" cm="1">
        <f t="array" aca="1" ref="J35" ca="1">SUMPRODUCT(SMALL(B35:I35,ROW(INDIRECT("1:6"))))</f>
        <v>93</v>
      </c>
      <c r="K35">
        <f ca="1">RANK(J35,$J$5:$J$37,1)</f>
        <v>30</v>
      </c>
    </row>
    <row r="36" spans="1:25" x14ac:dyDescent="0.55000000000000004">
      <c r="A36" s="26" t="s">
        <v>110</v>
      </c>
      <c r="B36">
        <f>IFERROR(VLOOKUP(A36,SwimMale[],4,FALSE),ROWS(SwimMale[])+5)</f>
        <v>26</v>
      </c>
      <c r="C36">
        <f>IFERROR(VLOOKUP(A36,RunMale[],4,FALSE),ROWS(RunMale[])+5)</f>
        <v>24</v>
      </c>
      <c r="D36">
        <f>IFERROR(VLOOKUP(A36,DuathlonMale[],11,FALSE),ROWS(DuathlonMale[])+5)</f>
        <v>17</v>
      </c>
      <c r="E36">
        <f>IFERROR(VLOOKUP(A36,OpenWaterMale[],4,FALSE),ROWS(OpenWaterMale[])+5)</f>
        <v>28</v>
      </c>
      <c r="F36">
        <f>IFERROR(VLOOKUP(A36,TriathlonMale[],18,FALSE),ROWS(TriathlonMale[])+5)</f>
        <v>14</v>
      </c>
      <c r="G36">
        <f>IFERROR(VLOOKUP(A36,TimeTrialMale[],7,FALSE),ROWS(TimeTrialMale[])+5)</f>
        <v>12</v>
      </c>
      <c r="H36">
        <f>IFERROR(VLOOKUP(A36,AquatlonMale[],6,FALSE),ROWS(AquatlonMale[])+5)</f>
        <v>8</v>
      </c>
      <c r="I36">
        <f>IFERROR(VLOOKUP(A36,trailRunMale[],4,FALSE),ROWS(trailRunMale[])+5)</f>
        <v>18</v>
      </c>
      <c r="J36" cm="1">
        <f t="array" aca="1" ref="J36" ca="1">SUMPRODUCT(SMALL(B36:I36,ROW(INDIRECT("1:6"))))</f>
        <v>93</v>
      </c>
      <c r="K36">
        <f ca="1">RANK(J36,$J$5:$J$37,1)</f>
        <v>30</v>
      </c>
    </row>
    <row r="37" spans="1:25" x14ac:dyDescent="0.55000000000000004">
      <c r="A37" s="30" t="s">
        <v>13</v>
      </c>
      <c r="B37">
        <f>IFERROR(VLOOKUP(A37,SwimMale[],4,FALSE),ROWS(SwimMale[])+5)</f>
        <v>19</v>
      </c>
      <c r="C37">
        <f>IFERROR(VLOOKUP(A37,RunMale[],4,FALSE),ROWS(RunMale[])+5)</f>
        <v>24</v>
      </c>
      <c r="D37">
        <f>IFERROR(VLOOKUP(A37,DuathlonMale[],11,FALSE),ROWS(DuathlonMale[])+5)</f>
        <v>17</v>
      </c>
      <c r="E37">
        <f>IFERROR(VLOOKUP(A37,OpenWaterMale[],4,FALSE),ROWS(OpenWaterMale[])+5)</f>
        <v>28</v>
      </c>
      <c r="F37">
        <f>IFERROR(VLOOKUP(A37,TriathlonMale[],18,FALSE),ROWS(TriathlonMale[])+5)</f>
        <v>14</v>
      </c>
      <c r="G37">
        <f>IFERROR(VLOOKUP(A37,TimeTrialMale[],7,FALSE),ROWS(TimeTrialMale[])+5)</f>
        <v>12</v>
      </c>
      <c r="H37">
        <f>IFERROR(VLOOKUP(A37,AquatlonMale[],6,FALSE),ROWS(AquatlonMale[])+5)</f>
        <v>14</v>
      </c>
      <c r="I37">
        <f>IFERROR(VLOOKUP(A37,trailRunMale[],4,FALSE),ROWS(trailRunMale[])+5)</f>
        <v>18</v>
      </c>
      <c r="J37" cm="1">
        <f t="array" aca="1" ref="J37" ca="1">SUMPRODUCT(SMALL(B37:I37,ROW(INDIRECT("1:6"))))</f>
        <v>94</v>
      </c>
      <c r="K37">
        <f ca="1">RANK(J37,$J$5:$J$37,1)</f>
        <v>33</v>
      </c>
      <c r="X37" s="28"/>
      <c r="Y37" s="28"/>
    </row>
    <row r="39" spans="1:25" x14ac:dyDescent="0.55000000000000004">
      <c r="A39" s="64" t="s">
        <v>4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28"/>
      <c r="M39" s="64" t="s">
        <v>35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5" x14ac:dyDescent="0.55000000000000004">
      <c r="B40" s="63" t="s">
        <v>41</v>
      </c>
      <c r="C40" s="63"/>
      <c r="D40" s="63"/>
      <c r="E40" s="63"/>
      <c r="F40" s="63"/>
      <c r="G40" s="63"/>
      <c r="H40" s="63"/>
      <c r="I40" s="63"/>
      <c r="J40" s="63"/>
      <c r="K40" s="1"/>
      <c r="L40" s="1"/>
      <c r="O40" s="63" t="s">
        <v>41</v>
      </c>
      <c r="P40" s="63"/>
      <c r="Q40" s="63"/>
      <c r="R40" s="63"/>
      <c r="S40" s="63"/>
      <c r="T40" s="63"/>
      <c r="U40" s="63"/>
      <c r="V40" s="63"/>
      <c r="W40" s="63"/>
    </row>
    <row r="41" spans="1:25" x14ac:dyDescent="0.55000000000000004">
      <c r="A41" s="16" t="s">
        <v>1</v>
      </c>
      <c r="B41" t="s">
        <v>44</v>
      </c>
      <c r="C41" t="s">
        <v>45</v>
      </c>
      <c r="D41" t="s">
        <v>46</v>
      </c>
      <c r="E41" t="s">
        <v>47</v>
      </c>
      <c r="F41" t="s">
        <v>48</v>
      </c>
      <c r="G41" t="s">
        <v>49</v>
      </c>
      <c r="H41" t="s">
        <v>50</v>
      </c>
      <c r="I41" t="s">
        <v>51</v>
      </c>
      <c r="J41" t="s">
        <v>52</v>
      </c>
      <c r="K41" t="s">
        <v>53</v>
      </c>
      <c r="M41" s="16" t="s">
        <v>1</v>
      </c>
      <c r="N41" t="s">
        <v>44</v>
      </c>
      <c r="O41" t="s">
        <v>45</v>
      </c>
      <c r="P41" t="s">
        <v>46</v>
      </c>
      <c r="Q41" t="s">
        <v>47</v>
      </c>
      <c r="R41" t="s">
        <v>48</v>
      </c>
      <c r="S41" t="s">
        <v>49</v>
      </c>
      <c r="T41" t="s">
        <v>50</v>
      </c>
      <c r="U41" t="s">
        <v>51</v>
      </c>
      <c r="V41" t="s">
        <v>52</v>
      </c>
      <c r="W41" t="s">
        <v>53</v>
      </c>
    </row>
    <row r="42" spans="1:25" x14ac:dyDescent="0.55000000000000004">
      <c r="A42" s="7" t="s">
        <v>25</v>
      </c>
      <c r="B42">
        <f>IFERROR(VLOOKUP(A42,SwimWomen[],4,FALSE),ROWS(SwimWomen[])+5)</f>
        <v>1</v>
      </c>
      <c r="C42">
        <f>IFERROR(VLOOKUP(A42,RunWomen[],4,FALSE),ROWS(RunWomen[])+5)</f>
        <v>7</v>
      </c>
      <c r="D42">
        <f>IFERROR(VLOOKUP(A42,DuathlonWomen[],11,FALSE),ROWS(DuathlonWomen[])+5)</f>
        <v>7</v>
      </c>
      <c r="E42">
        <f>IFERROR(VLOOKUP(A42,OpenWaterWomen[],4,FALSE),ROWS(OpenWaterWomen[])+5)</f>
        <v>1</v>
      </c>
      <c r="F42">
        <f>IFERROR(VLOOKUP(A42,TriathlonWomen[],18,FALSE),ROWS(TriathlonWomen[])+5)</f>
        <v>1</v>
      </c>
      <c r="G42" t="s">
        <v>76</v>
      </c>
      <c r="H42">
        <f>IFERROR(VLOOKUP(A42,AquatlonFemale[],6,FALSE),ROWS(AquatlonFemale[])+5)</f>
        <v>1</v>
      </c>
      <c r="I42">
        <f>IFERROR(VLOOKUP(A42,trailRunWomen[],4,FALSE),ROWS(trailRunWomen[])+5)</f>
        <v>6</v>
      </c>
      <c r="J42" cm="1">
        <f t="array" aca="1" ref="J42" ca="1">SUMPRODUCT(SMALL(B42:I42,ROW(INDIRECT("1:6"))))</f>
        <v>17</v>
      </c>
      <c r="K42">
        <f ca="1">RANK(J42,$J$42:$J$48,1)</f>
        <v>1</v>
      </c>
      <c r="M42" s="37" t="s">
        <v>27</v>
      </c>
      <c r="N42">
        <f>IFERROR(VLOOKUP(M42,SwimWomenMaster[],4,FALSE),ROWS(SwimWomenMaster[])+5)</f>
        <v>2</v>
      </c>
      <c r="O42" t="s">
        <v>76</v>
      </c>
      <c r="P42">
        <f>IFERROR(VLOOKUP(M42,DuathlonWomenMaster[],11,FALSE),ROWS(DuathlonWomenMaster[])+5)</f>
        <v>1</v>
      </c>
      <c r="Q42" t="s">
        <v>76</v>
      </c>
      <c r="R42" t="s">
        <v>76</v>
      </c>
      <c r="S42" t="s">
        <v>76</v>
      </c>
      <c r="T42" t="s">
        <v>76</v>
      </c>
      <c r="U42">
        <f>IFERROR(VLOOKUP(M42,trailRunWomenMaster[],4,FALSE),ROWS(trailRunWomenMaster[])+5)</f>
        <v>6</v>
      </c>
      <c r="V42">
        <f>SUM(N42:U42)</f>
        <v>9</v>
      </c>
      <c r="W42">
        <f>RANK(V42,$V$42:$V$44,1)</f>
        <v>1</v>
      </c>
    </row>
    <row r="43" spans="1:25" x14ac:dyDescent="0.55000000000000004">
      <c r="A43" s="7" t="s">
        <v>29</v>
      </c>
      <c r="B43">
        <f>IFERROR(VLOOKUP(A43,SwimWomen[],4,FALSE),ROWS(SwimWomen[])+5)</f>
        <v>3</v>
      </c>
      <c r="C43">
        <f>IFERROR(VLOOKUP(A43,RunWomen[],4,FALSE),ROWS(RunWomen[])+5)</f>
        <v>1</v>
      </c>
      <c r="D43">
        <f>IFERROR(VLOOKUP(A43,DuathlonWomen[],11,FALSE),ROWS(DuathlonWomen[])+5)</f>
        <v>7</v>
      </c>
      <c r="E43">
        <f>IFERROR(VLOOKUP(A43,OpenWaterWomen[],4,FALSE),ROWS(OpenWaterWomen[])+5)</f>
        <v>3</v>
      </c>
      <c r="F43">
        <f>IFERROR(VLOOKUP(A43,TriathlonWomen[],18,FALSE),ROWS(TriathlonWomen[])+5)</f>
        <v>7</v>
      </c>
      <c r="G43" t="s">
        <v>76</v>
      </c>
      <c r="H43">
        <f>IFERROR(VLOOKUP(A43,AquatlonFemale[],6,FALSE),ROWS(AquatlonFemale[])+5)</f>
        <v>6</v>
      </c>
      <c r="I43">
        <f>IFERROR(VLOOKUP(A43,trailRunWomen[],4,FALSE),ROWS(trailRunWomen[])+5)</f>
        <v>6</v>
      </c>
      <c r="J43" cm="1">
        <f t="array" aca="1" ref="J43" ca="1">SUMPRODUCT(SMALL(B43:I43,ROW(INDIRECT("1:6"))))</f>
        <v>26</v>
      </c>
      <c r="K43">
        <f ca="1">RANK(J43,$J$42:$J$48,1)</f>
        <v>2</v>
      </c>
      <c r="M43" s="38" t="s">
        <v>26</v>
      </c>
      <c r="N43">
        <f>IFERROR(VLOOKUP(M43,SwimWomenMaster[],4,FALSE),ROWS(SwimWomenMaster[])+5)</f>
        <v>1</v>
      </c>
      <c r="O43" t="s">
        <v>76</v>
      </c>
      <c r="P43">
        <f>IFERROR(VLOOKUP(M43,DuathlonWomenMaster[],11,FALSE),ROWS(DuathlonWomenMaster[])+5)</f>
        <v>6</v>
      </c>
      <c r="Q43" t="s">
        <v>76</v>
      </c>
      <c r="R43" t="s">
        <v>76</v>
      </c>
      <c r="S43" t="s">
        <v>76</v>
      </c>
      <c r="T43" t="s">
        <v>76</v>
      </c>
      <c r="U43">
        <f>IFERROR(VLOOKUP(M43,trailRunWomenMaster[],4,FALSE),ROWS(trailRunWomenMaster[])+5)</f>
        <v>6</v>
      </c>
      <c r="V43">
        <f>SUM(N43:U43)</f>
        <v>13</v>
      </c>
      <c r="W43">
        <f>RANK(V43,$V$42:$V$44,1)</f>
        <v>2</v>
      </c>
    </row>
    <row r="44" spans="1:25" x14ac:dyDescent="0.55000000000000004">
      <c r="A44" s="37" t="s">
        <v>62</v>
      </c>
      <c r="B44">
        <f>IFERROR(VLOOKUP(A44,SwimWomen[],4,FALSE),ROWS(SwimWomen[])+5)</f>
        <v>10</v>
      </c>
      <c r="C44">
        <f>IFERROR(VLOOKUP(A44,RunWomen[],4,FALSE),ROWS(RunWomen[])+5)</f>
        <v>2</v>
      </c>
      <c r="D44">
        <f>IFERROR(VLOOKUP(A44,DuathlonWomen[],11,FALSE),ROWS(DuathlonWomen[])+5)</f>
        <v>2</v>
      </c>
      <c r="E44">
        <f>IFERROR(VLOOKUP(A44,OpenWaterWomen[],4,FALSE),ROWS(OpenWaterWomen[])+5)</f>
        <v>9</v>
      </c>
      <c r="F44">
        <f>IFERROR(VLOOKUP(A44,TriathlonWomen[],18,FALSE),ROWS(TriathlonWomen[])+5)</f>
        <v>2</v>
      </c>
      <c r="G44" t="s">
        <v>76</v>
      </c>
      <c r="H44">
        <f>IFERROR(VLOOKUP(A44,AquatlonFemale[],6,FALSE),ROWS(AquatlonFemale[])+5)</f>
        <v>6</v>
      </c>
      <c r="I44">
        <f>IFERROR(VLOOKUP(A44,trailRunWomen[],4,FALSE),ROWS(trailRunWomen[])+5)</f>
        <v>6</v>
      </c>
      <c r="J44" cm="1">
        <f t="array" aca="1" ref="J44" ca="1">SUMPRODUCT(SMALL(B44:I44,ROW(INDIRECT("1:6"))))</f>
        <v>27</v>
      </c>
      <c r="K44">
        <f ca="1">RANK(J44,$J$42:$J$48,1)</f>
        <v>3</v>
      </c>
      <c r="M44" s="70" t="s">
        <v>115</v>
      </c>
      <c r="N44">
        <f>IFERROR(VLOOKUP(M44,SwimWomenMaster[],4,FALSE),ROWS(SwimWomenMaster[])+5)</f>
        <v>7</v>
      </c>
      <c r="O44" t="s">
        <v>76</v>
      </c>
      <c r="P44" s="71">
        <f>IFERROR(VLOOKUP(M44,DuathlonWomenMaster[],11,FALSE),ROWS(DuathlonWomenMaster[])+5)</f>
        <v>6</v>
      </c>
      <c r="Q44" t="s">
        <v>76</v>
      </c>
      <c r="R44" t="s">
        <v>76</v>
      </c>
      <c r="S44" t="s">
        <v>76</v>
      </c>
      <c r="T44" t="s">
        <v>76</v>
      </c>
      <c r="U44">
        <f>IFERROR(VLOOKUP(M44,trailRunWomenMaster[],4,FALSE),ROWS(trailRunWomenMaster[])+5)</f>
        <v>1</v>
      </c>
      <c r="V44" s="71">
        <f>SUM(N44:U44)</f>
        <v>14</v>
      </c>
      <c r="W44" s="71">
        <f>RANK(V44,$V$42:$V$44,1)</f>
        <v>3</v>
      </c>
    </row>
    <row r="45" spans="1:25" x14ac:dyDescent="0.55000000000000004">
      <c r="A45" s="8" t="s">
        <v>28</v>
      </c>
      <c r="B45">
        <f>IFERROR(VLOOKUP(A45,SwimWomen[],4,FALSE),ROWS(SwimWomen[])+5)</f>
        <v>4</v>
      </c>
      <c r="C45">
        <f>IFERROR(VLOOKUP(A45,RunWomen[],4,FALSE),ROWS(RunWomen[])+5)</f>
        <v>7</v>
      </c>
      <c r="D45">
        <f>IFERROR(VLOOKUP(A45,DuathlonWomen[],11,FALSE),ROWS(DuathlonWomen[])+5)</f>
        <v>7</v>
      </c>
      <c r="E45">
        <f>IFERROR(VLOOKUP(A45,OpenWaterWomen[],4,FALSE),ROWS(OpenWaterWomen[])+5)</f>
        <v>2</v>
      </c>
      <c r="F45">
        <f>IFERROR(VLOOKUP(A45,TriathlonWomen[],18,FALSE),ROWS(TriathlonWomen[])+5)</f>
        <v>7</v>
      </c>
      <c r="G45" t="s">
        <v>76</v>
      </c>
      <c r="H45">
        <f>IFERROR(VLOOKUP(A45,AquatlonFemale[],6,FALSE),ROWS(AquatlonFemale[])+5)</f>
        <v>6</v>
      </c>
      <c r="I45">
        <f>IFERROR(VLOOKUP(A45,trailRunWomen[],4,FALSE),ROWS(trailRunWomen[])+5)</f>
        <v>6</v>
      </c>
      <c r="J45" cm="1">
        <f t="array" aca="1" ref="J45" ca="1">SUMPRODUCT(SMALL(B45:I45,ROW(INDIRECT("1:6"))))</f>
        <v>32</v>
      </c>
      <c r="K45">
        <f ca="1">RANK(J45,$J$42:$J$48,1)</f>
        <v>4</v>
      </c>
    </row>
    <row r="46" spans="1:25" x14ac:dyDescent="0.55000000000000004">
      <c r="A46" s="61" t="s">
        <v>27</v>
      </c>
      <c r="B46">
        <f>IFERROR(VLOOKUP(A46,SwimWomen[],4,FALSE),ROWS(SwimWomen[])+5)</f>
        <v>5</v>
      </c>
      <c r="C46">
        <f>IFERROR(VLOOKUP(A46,RunWomen[],4,FALSE),ROWS(RunWomen[])+5)</f>
        <v>7</v>
      </c>
      <c r="D46">
        <f>IFERROR(VLOOKUP(A46,DuathlonWomen[],11,FALSE),ROWS(DuathlonWomen[])+5)</f>
        <v>1</v>
      </c>
      <c r="E46">
        <f>IFERROR(VLOOKUP(A46,OpenWaterWomen[],4,FALSE),ROWS(OpenWaterWomen[])+5)</f>
        <v>9</v>
      </c>
      <c r="F46">
        <f>IFERROR(VLOOKUP(A46,TriathlonWomen[],18,FALSE),ROWS(TriathlonWomen[])+5)</f>
        <v>7</v>
      </c>
      <c r="G46" t="s">
        <v>76</v>
      </c>
      <c r="H46">
        <f>IFERROR(VLOOKUP(A46,AquatlonFemale[],6,FALSE),ROWS(AquatlonFemale[])+5)</f>
        <v>6</v>
      </c>
      <c r="I46">
        <f>IFERROR(VLOOKUP(A46,trailRunWomen[],4,FALSE),ROWS(trailRunWomen[])+5)</f>
        <v>6</v>
      </c>
      <c r="J46" cm="1">
        <f t="array" aca="1" ref="J46" ca="1">SUMPRODUCT(SMALL(B46:I46,ROW(INDIRECT("1:6"))))</f>
        <v>32</v>
      </c>
      <c r="K46">
        <f ca="1">RANK(J46,$J$42:$J$48,1)</f>
        <v>4</v>
      </c>
    </row>
    <row r="47" spans="1:25" x14ac:dyDescent="0.55000000000000004">
      <c r="A47" s="36" t="s">
        <v>26</v>
      </c>
      <c r="B47">
        <f>IFERROR(VLOOKUP(A47,SwimWomen[],4,FALSE),ROWS(SwimWomen[])+5)</f>
        <v>2</v>
      </c>
      <c r="C47">
        <f>IFERROR(VLOOKUP(A47,RunWomen[],4,FALSE),ROWS(RunWomen[])+5)</f>
        <v>7</v>
      </c>
      <c r="D47">
        <f>IFERROR(VLOOKUP(A47,DuathlonWomen[],11,FALSE),ROWS(DuathlonWomen[])+5)</f>
        <v>7</v>
      </c>
      <c r="E47">
        <f>IFERROR(VLOOKUP(A47,OpenWaterWomen[],4,FALSE),ROWS(OpenWaterWomen[])+5)</f>
        <v>9</v>
      </c>
      <c r="F47">
        <f>IFERROR(VLOOKUP(A47,TriathlonWomen[],18,FALSE),ROWS(TriathlonWomen[])+5)</f>
        <v>7</v>
      </c>
      <c r="G47" t="s">
        <v>76</v>
      </c>
      <c r="H47">
        <f>IFERROR(VLOOKUP(A47,AquatlonFemale[],6,FALSE),ROWS(AquatlonFemale[])+5)</f>
        <v>6</v>
      </c>
      <c r="I47">
        <f>IFERROR(VLOOKUP(A47,trailRunWomen[],4,FALSE),ROWS(trailRunWomen[])+5)</f>
        <v>6</v>
      </c>
      <c r="J47" cm="1">
        <f t="array" aca="1" ref="J47" ca="1">SUMPRODUCT(SMALL(B47:I47,ROW(INDIRECT("1:6"))))</f>
        <v>35</v>
      </c>
      <c r="K47">
        <f ca="1">RANK(J47,$J$42:$J$48,1)</f>
        <v>6</v>
      </c>
    </row>
    <row r="48" spans="1:25" x14ac:dyDescent="0.55000000000000004">
      <c r="A48" s="70" t="s">
        <v>115</v>
      </c>
      <c r="B48" s="72">
        <f>IFERROR(VLOOKUP(A48,SwimWomen[],4,FALSE),ROWS(SwimWomen[])+5)</f>
        <v>10</v>
      </c>
      <c r="C48" s="72">
        <f>IFERROR(VLOOKUP(A48,RunWomen[],4,FALSE),ROWS(RunWomen[])+5)</f>
        <v>7</v>
      </c>
      <c r="D48" s="72">
        <f>IFERROR(VLOOKUP(A48,DuathlonWomen[],11,FALSE),ROWS(DuathlonWomen[])+5)</f>
        <v>7</v>
      </c>
      <c r="E48" s="72">
        <f>IFERROR(VLOOKUP(A48,OpenWaterWomen[],4,FALSE),ROWS(OpenWaterWomen[])+5)</f>
        <v>9</v>
      </c>
      <c r="F48" s="72">
        <f>IFERROR(VLOOKUP(A48,TriathlonWomen[],18,FALSE),ROWS(TriathlonWomen[])+5)</f>
        <v>7</v>
      </c>
      <c r="G48" s="72" t="s">
        <v>76</v>
      </c>
      <c r="H48" s="72">
        <f>IFERROR(VLOOKUP(A48,AquatlonFemale[],6,FALSE),ROWS(AquatlonFemale[])+5)</f>
        <v>6</v>
      </c>
      <c r="I48" s="69">
        <f>IFERROR(VLOOKUP(A48,trailRunWomen[],4,FALSE),ROWS(trailRunWomen[])+5)</f>
        <v>1</v>
      </c>
      <c r="J48" s="72" cm="1">
        <f t="array" aca="1" ref="J48" ca="1">SUMPRODUCT(SMALL(B48:I48,ROW(INDIRECT("1:6"))))</f>
        <v>37</v>
      </c>
      <c r="K48" s="72">
        <f ca="1">RANK(J48,$J$42:$J$48,1)</f>
        <v>7</v>
      </c>
    </row>
    <row r="78" spans="1:1" x14ac:dyDescent="0.55000000000000004">
      <c r="A78" t="e" cm="1">
        <f t="array" ref="A78">SUMPRODUCT(SMALL(#REF!,{1;2;3;4;5;6}))</f>
        <v>#REF!</v>
      </c>
    </row>
  </sheetData>
  <mergeCells count="9">
    <mergeCell ref="A1:W1"/>
    <mergeCell ref="B40:J40"/>
    <mergeCell ref="O40:W40"/>
    <mergeCell ref="B3:J3"/>
    <mergeCell ref="O3:W3"/>
    <mergeCell ref="M2:W2"/>
    <mergeCell ref="M39:W39"/>
    <mergeCell ref="A39:K39"/>
    <mergeCell ref="A2:K2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6DA5-E94F-4314-9C5D-7393C795E436}">
  <dimension ref="A1:I32"/>
  <sheetViews>
    <sheetView topLeftCell="A3" workbookViewId="0">
      <selection activeCell="H20" sqref="H20"/>
    </sheetView>
  </sheetViews>
  <sheetFormatPr defaultRowHeight="14.4" x14ac:dyDescent="0.55000000000000004"/>
  <cols>
    <col min="1" max="1" width="25.68359375" customWidth="1"/>
    <col min="2" max="2" width="8.83984375" customWidth="1"/>
    <col min="3" max="3" width="12.15625" bestFit="1" customWidth="1"/>
    <col min="4" max="4" width="13.578125" bestFit="1" customWidth="1"/>
    <col min="5" max="5" width="7.41796875" customWidth="1"/>
    <col min="6" max="6" width="18.83984375" bestFit="1" customWidth="1"/>
    <col min="7" max="7" width="8.15625" bestFit="1" customWidth="1"/>
    <col min="8" max="8" width="12.15625" bestFit="1" customWidth="1"/>
    <col min="9" max="9" width="14.578125" bestFit="1" customWidth="1"/>
    <col min="10" max="10" width="11.83984375" customWidth="1"/>
    <col min="11" max="11" width="14.26171875" customWidth="1"/>
  </cols>
  <sheetData>
    <row r="1" spans="1:9" ht="25.8" x14ac:dyDescent="0.95">
      <c r="A1" s="65" t="s">
        <v>32</v>
      </c>
      <c r="B1" s="65"/>
      <c r="C1" s="65"/>
      <c r="D1" s="65"/>
      <c r="E1" s="65"/>
      <c r="F1" s="65"/>
      <c r="G1" s="65"/>
      <c r="H1" s="65"/>
      <c r="I1" s="65"/>
    </row>
    <row r="2" spans="1:9" x14ac:dyDescent="0.55000000000000004">
      <c r="A2" s="63" t="s">
        <v>3</v>
      </c>
      <c r="B2" s="63"/>
      <c r="C2" s="63"/>
      <c r="D2" s="63"/>
      <c r="F2" s="66" t="s">
        <v>36</v>
      </c>
      <c r="G2" s="66"/>
      <c r="H2" s="66"/>
      <c r="I2" s="66"/>
    </row>
    <row r="3" spans="1:9" x14ac:dyDescent="0.55000000000000004">
      <c r="A3" t="s">
        <v>1</v>
      </c>
      <c r="B3" t="s">
        <v>2</v>
      </c>
      <c r="C3" t="s">
        <v>0</v>
      </c>
      <c r="D3" t="s">
        <v>30</v>
      </c>
      <c r="F3" s="5" t="s">
        <v>1</v>
      </c>
      <c r="G3" s="5" t="s">
        <v>2</v>
      </c>
      <c r="H3" s="5" t="s">
        <v>0</v>
      </c>
      <c r="I3" s="6" t="s">
        <v>31</v>
      </c>
    </row>
    <row r="4" spans="1:9" x14ac:dyDescent="0.55000000000000004">
      <c r="A4" t="s">
        <v>20</v>
      </c>
      <c r="B4" s="21">
        <v>4.1782407407407402E-3</v>
      </c>
      <c r="C4" s="2">
        <f t="shared" ref="C4:C24" si="0">B4/5</f>
        <v>8.3564814814814808E-4</v>
      </c>
      <c r="D4">
        <f>RANK(B4,$B$4:$B$24,1)</f>
        <v>1</v>
      </c>
      <c r="F4" s="3" t="s">
        <v>17</v>
      </c>
      <c r="G4" s="22">
        <v>5.4861111111111117E-3</v>
      </c>
      <c r="H4" s="2">
        <f>G4/5</f>
        <v>1.0972222222222223E-3</v>
      </c>
      <c r="I4">
        <f t="shared" ref="I4:I10" si="1">RANK(G4,$G$4:$G$10,1)</f>
        <v>2</v>
      </c>
    </row>
    <row r="5" spans="1:9" x14ac:dyDescent="0.55000000000000004">
      <c r="A5" t="s">
        <v>14</v>
      </c>
      <c r="B5" s="21">
        <v>4.7106481481481478E-3</v>
      </c>
      <c r="C5" s="2">
        <f t="shared" si="0"/>
        <v>9.4212962962962957E-4</v>
      </c>
      <c r="D5">
        <f t="shared" ref="D5:D24" si="2">RANK(B5,$B$4:$B$24,1)</f>
        <v>2</v>
      </c>
      <c r="F5" s="3" t="s">
        <v>10</v>
      </c>
      <c r="G5" s="22">
        <v>6.238425925925925E-3</v>
      </c>
      <c r="H5" s="2">
        <f t="shared" ref="H5:H10" si="3">G5/5</f>
        <v>1.247685185185185E-3</v>
      </c>
      <c r="I5">
        <f t="shared" si="1"/>
        <v>4</v>
      </c>
    </row>
    <row r="6" spans="1:9" x14ac:dyDescent="0.55000000000000004">
      <c r="A6" t="s">
        <v>6</v>
      </c>
      <c r="B6" s="21">
        <v>4.8032407407407407E-3</v>
      </c>
      <c r="C6" s="2">
        <f t="shared" si="0"/>
        <v>9.6064814814814819E-4</v>
      </c>
      <c r="D6">
        <f t="shared" si="2"/>
        <v>3</v>
      </c>
      <c r="F6" s="3" t="s">
        <v>24</v>
      </c>
      <c r="G6" s="22">
        <v>6.7013888888888887E-3</v>
      </c>
      <c r="H6" s="2">
        <f t="shared" si="3"/>
        <v>1.3402777777777777E-3</v>
      </c>
      <c r="I6">
        <f t="shared" si="1"/>
        <v>5</v>
      </c>
    </row>
    <row r="7" spans="1:9" x14ac:dyDescent="0.55000000000000004">
      <c r="A7" t="s">
        <v>54</v>
      </c>
      <c r="B7" s="21">
        <v>4.9189814814814816E-3</v>
      </c>
      <c r="C7" s="2">
        <f t="shared" si="0"/>
        <v>9.8379629629629642E-4</v>
      </c>
      <c r="D7">
        <f t="shared" si="2"/>
        <v>4</v>
      </c>
      <c r="F7" s="3" t="s">
        <v>13</v>
      </c>
      <c r="G7" s="22">
        <v>7.2337962962962963E-3</v>
      </c>
      <c r="H7" s="2">
        <f t="shared" si="3"/>
        <v>1.4467592592592592E-3</v>
      </c>
      <c r="I7">
        <f t="shared" si="1"/>
        <v>6</v>
      </c>
    </row>
    <row r="8" spans="1:9" x14ac:dyDescent="0.55000000000000004">
      <c r="A8" t="s">
        <v>22</v>
      </c>
      <c r="B8" s="21">
        <v>5.2430555555555555E-3</v>
      </c>
      <c r="C8" s="2">
        <f t="shared" si="0"/>
        <v>1.0486111111111111E-3</v>
      </c>
      <c r="D8">
        <f t="shared" si="2"/>
        <v>5</v>
      </c>
      <c r="F8" s="4" t="s">
        <v>8</v>
      </c>
      <c r="G8" s="23">
        <v>7.6388888888888886E-3</v>
      </c>
      <c r="H8" s="2">
        <f t="shared" si="3"/>
        <v>1.5277777777777776E-3</v>
      </c>
      <c r="I8">
        <f t="shared" si="1"/>
        <v>7</v>
      </c>
    </row>
    <row r="9" spans="1:9" x14ac:dyDescent="0.55000000000000004">
      <c r="A9" t="s">
        <v>18</v>
      </c>
      <c r="B9" s="21">
        <v>5.4282407407407404E-3</v>
      </c>
      <c r="C9" s="2">
        <f t="shared" si="0"/>
        <v>1.0856481481481481E-3</v>
      </c>
      <c r="D9">
        <f t="shared" si="2"/>
        <v>6</v>
      </c>
      <c r="F9" s="3" t="s">
        <v>21</v>
      </c>
      <c r="G9" s="22">
        <v>5.7870370370370376E-3</v>
      </c>
      <c r="H9" s="2">
        <f t="shared" si="3"/>
        <v>1.1574074074074076E-3</v>
      </c>
      <c r="I9">
        <f t="shared" si="1"/>
        <v>3</v>
      </c>
    </row>
    <row r="10" spans="1:9" x14ac:dyDescent="0.55000000000000004">
      <c r="A10" t="s">
        <v>12</v>
      </c>
      <c r="B10" s="21">
        <v>5.4398148148148149E-3</v>
      </c>
      <c r="C10" s="2">
        <f t="shared" si="0"/>
        <v>1.0879629629629629E-3</v>
      </c>
      <c r="D10">
        <f t="shared" si="2"/>
        <v>7</v>
      </c>
      <c r="F10" s="3" t="s">
        <v>54</v>
      </c>
      <c r="G10" s="22">
        <v>4.9189814814814816E-3</v>
      </c>
      <c r="H10" s="2">
        <f t="shared" si="3"/>
        <v>9.8379629629629642E-4</v>
      </c>
      <c r="I10">
        <f t="shared" si="1"/>
        <v>1</v>
      </c>
    </row>
    <row r="11" spans="1:9" x14ac:dyDescent="0.55000000000000004">
      <c r="A11" t="s">
        <v>5</v>
      </c>
      <c r="B11" s="21">
        <v>5.4629629629629637E-3</v>
      </c>
      <c r="C11" s="2">
        <f t="shared" si="0"/>
        <v>1.0925925925925927E-3</v>
      </c>
      <c r="D11">
        <f t="shared" si="2"/>
        <v>8</v>
      </c>
    </row>
    <row r="12" spans="1:9" x14ac:dyDescent="0.55000000000000004">
      <c r="A12" t="s">
        <v>17</v>
      </c>
      <c r="B12" s="21">
        <v>5.4861111111111117E-3</v>
      </c>
      <c r="C12" s="2">
        <f t="shared" si="0"/>
        <v>1.0972222222222223E-3</v>
      </c>
      <c r="D12">
        <f t="shared" si="2"/>
        <v>9</v>
      </c>
    </row>
    <row r="13" spans="1:9" x14ac:dyDescent="0.55000000000000004">
      <c r="A13" t="s">
        <v>7</v>
      </c>
      <c r="B13" s="21">
        <v>5.5439814814814822E-3</v>
      </c>
      <c r="C13" s="2">
        <f t="shared" si="0"/>
        <v>1.1087962962962965E-3</v>
      </c>
      <c r="D13">
        <f t="shared" si="2"/>
        <v>10</v>
      </c>
    </row>
    <row r="14" spans="1:9" x14ac:dyDescent="0.55000000000000004">
      <c r="A14" t="s">
        <v>15</v>
      </c>
      <c r="B14" s="21">
        <v>5.5902777777777782E-3</v>
      </c>
      <c r="C14" s="2">
        <f t="shared" si="0"/>
        <v>1.1180555555555557E-3</v>
      </c>
      <c r="D14">
        <f t="shared" si="2"/>
        <v>11</v>
      </c>
    </row>
    <row r="15" spans="1:9" x14ac:dyDescent="0.55000000000000004">
      <c r="A15" t="s">
        <v>19</v>
      </c>
      <c r="B15" s="21">
        <v>5.7638888888888887E-3</v>
      </c>
      <c r="C15" s="2">
        <f t="shared" si="0"/>
        <v>1.1527777777777777E-3</v>
      </c>
      <c r="D15">
        <f t="shared" si="2"/>
        <v>12</v>
      </c>
    </row>
    <row r="16" spans="1:9" x14ac:dyDescent="0.55000000000000004">
      <c r="A16" t="s">
        <v>21</v>
      </c>
      <c r="B16" s="21">
        <v>5.7870370370370376E-3</v>
      </c>
      <c r="C16" s="2">
        <f t="shared" si="0"/>
        <v>1.1574074074074076E-3</v>
      </c>
      <c r="D16">
        <f t="shared" si="2"/>
        <v>13</v>
      </c>
    </row>
    <row r="17" spans="1:9" x14ac:dyDescent="0.55000000000000004">
      <c r="A17" t="s">
        <v>11</v>
      </c>
      <c r="B17" s="21">
        <v>5.9375000000000009E-3</v>
      </c>
      <c r="C17" s="2">
        <f t="shared" si="0"/>
        <v>1.1875000000000002E-3</v>
      </c>
      <c r="D17">
        <f t="shared" si="2"/>
        <v>14</v>
      </c>
    </row>
    <row r="18" spans="1:9" x14ac:dyDescent="0.55000000000000004">
      <c r="A18" t="s">
        <v>10</v>
      </c>
      <c r="B18" s="21">
        <v>6.238425925925925E-3</v>
      </c>
      <c r="C18" s="2">
        <f t="shared" si="0"/>
        <v>1.247685185185185E-3</v>
      </c>
      <c r="D18">
        <f t="shared" si="2"/>
        <v>15</v>
      </c>
    </row>
    <row r="19" spans="1:9" x14ac:dyDescent="0.55000000000000004">
      <c r="A19" t="s">
        <v>9</v>
      </c>
      <c r="B19" s="21">
        <v>6.6782407407407415E-3</v>
      </c>
      <c r="C19" s="2">
        <f t="shared" si="0"/>
        <v>1.3356481481481483E-3</v>
      </c>
      <c r="D19">
        <f t="shared" si="2"/>
        <v>16</v>
      </c>
    </row>
    <row r="20" spans="1:9" x14ac:dyDescent="0.55000000000000004">
      <c r="A20" t="s">
        <v>24</v>
      </c>
      <c r="B20" s="21">
        <v>6.7013888888888887E-3</v>
      </c>
      <c r="C20" s="2">
        <f t="shared" si="0"/>
        <v>1.3402777777777777E-3</v>
      </c>
      <c r="D20">
        <f t="shared" si="2"/>
        <v>17</v>
      </c>
    </row>
    <row r="21" spans="1:9" x14ac:dyDescent="0.55000000000000004">
      <c r="A21" t="s">
        <v>16</v>
      </c>
      <c r="B21" s="21">
        <v>6.851851851851852E-3</v>
      </c>
      <c r="C21" s="2">
        <f t="shared" si="0"/>
        <v>1.3703703703703703E-3</v>
      </c>
      <c r="D21">
        <f t="shared" si="2"/>
        <v>18</v>
      </c>
    </row>
    <row r="22" spans="1:9" x14ac:dyDescent="0.55000000000000004">
      <c r="A22" t="s">
        <v>13</v>
      </c>
      <c r="B22" s="21">
        <v>7.2337962962962963E-3</v>
      </c>
      <c r="C22" s="2">
        <f t="shared" si="0"/>
        <v>1.4467592592592592E-3</v>
      </c>
      <c r="D22">
        <f t="shared" si="2"/>
        <v>19</v>
      </c>
    </row>
    <row r="23" spans="1:9" x14ac:dyDescent="0.55000000000000004">
      <c r="A23" t="s">
        <v>23</v>
      </c>
      <c r="B23" s="21">
        <v>7.5925925925925926E-3</v>
      </c>
      <c r="C23" s="2">
        <f t="shared" si="0"/>
        <v>1.5185185185185184E-3</v>
      </c>
      <c r="D23">
        <f t="shared" si="2"/>
        <v>20</v>
      </c>
    </row>
    <row r="24" spans="1:9" x14ac:dyDescent="0.55000000000000004">
      <c r="A24" t="s">
        <v>8</v>
      </c>
      <c r="B24" s="21">
        <v>7.6388888888888886E-3</v>
      </c>
      <c r="C24" s="2">
        <f t="shared" si="0"/>
        <v>1.5277777777777776E-3</v>
      </c>
      <c r="D24">
        <f t="shared" si="2"/>
        <v>21</v>
      </c>
    </row>
    <row r="25" spans="1:9" x14ac:dyDescent="0.55000000000000004">
      <c r="B25" s="2"/>
      <c r="C25" s="2"/>
    </row>
    <row r="26" spans="1:9" x14ac:dyDescent="0.55000000000000004">
      <c r="A26" s="63" t="s">
        <v>4</v>
      </c>
      <c r="B26" s="63"/>
      <c r="C26" s="63"/>
      <c r="D26" s="63"/>
      <c r="F26" s="66" t="s">
        <v>35</v>
      </c>
      <c r="G26" s="66"/>
      <c r="H26" s="66"/>
      <c r="I26" s="66"/>
    </row>
    <row r="27" spans="1:9" x14ac:dyDescent="0.55000000000000004">
      <c r="A27" t="s">
        <v>1</v>
      </c>
      <c r="B27" t="s">
        <v>2</v>
      </c>
      <c r="C27" t="s">
        <v>0</v>
      </c>
      <c r="D27" t="s">
        <v>30</v>
      </c>
      <c r="F27" t="s">
        <v>1</v>
      </c>
      <c r="G27" t="s">
        <v>2</v>
      </c>
      <c r="H27" t="s">
        <v>0</v>
      </c>
      <c r="I27" t="s">
        <v>31</v>
      </c>
    </row>
    <row r="28" spans="1:9" x14ac:dyDescent="0.55000000000000004">
      <c r="A28" t="s">
        <v>25</v>
      </c>
      <c r="B28" s="21">
        <v>5.3240740740740748E-3</v>
      </c>
      <c r="C28" s="2">
        <f>B28/5</f>
        <v>1.0648148148148149E-3</v>
      </c>
      <c r="D28">
        <f>RANK(B28,$B$28:$B$32,1)</f>
        <v>1</v>
      </c>
      <c r="F28" t="s">
        <v>27</v>
      </c>
      <c r="G28" s="21">
        <v>7.2916666666666659E-3</v>
      </c>
      <c r="H28" s="2">
        <f>G28/5</f>
        <v>1.4583333333333332E-3</v>
      </c>
      <c r="I28">
        <f>RANK(G28,$G$28:$G$29,1)</f>
        <v>2</v>
      </c>
    </row>
    <row r="29" spans="1:9" x14ac:dyDescent="0.55000000000000004">
      <c r="A29" t="s">
        <v>26</v>
      </c>
      <c r="B29" s="21">
        <v>5.6365740740740742E-3</v>
      </c>
      <c r="C29" s="2">
        <f>B29/5</f>
        <v>1.1273148148148149E-3</v>
      </c>
      <c r="D29">
        <f>RANK(B29,$B$28:$B$32,1)</f>
        <v>2</v>
      </c>
      <c r="F29" t="s">
        <v>26</v>
      </c>
      <c r="G29" s="21">
        <v>5.6365740740740742E-3</v>
      </c>
      <c r="H29" s="2">
        <f>G29/5</f>
        <v>1.1273148148148149E-3</v>
      </c>
      <c r="I29">
        <f>RANK(G29,$G$28:$G$29,1)</f>
        <v>1</v>
      </c>
    </row>
    <row r="30" spans="1:9" x14ac:dyDescent="0.55000000000000004">
      <c r="A30" t="s">
        <v>29</v>
      </c>
      <c r="B30" s="21">
        <v>5.9027777777777776E-3</v>
      </c>
      <c r="C30" s="2">
        <f>B30/5</f>
        <v>1.1805555555555556E-3</v>
      </c>
      <c r="D30">
        <f>RANK(B30,$B$28:$B$32,1)</f>
        <v>3</v>
      </c>
    </row>
    <row r="31" spans="1:9" x14ac:dyDescent="0.55000000000000004">
      <c r="A31" t="s">
        <v>28</v>
      </c>
      <c r="B31" s="21">
        <v>6.053240740740741E-3</v>
      </c>
      <c r="C31" s="2">
        <f>B31/5</f>
        <v>1.2106481481481482E-3</v>
      </c>
      <c r="D31">
        <f>RANK(B31,$B$28:$B$32,1)</f>
        <v>4</v>
      </c>
    </row>
    <row r="32" spans="1:9" x14ac:dyDescent="0.55000000000000004">
      <c r="A32" t="s">
        <v>27</v>
      </c>
      <c r="B32" s="21">
        <v>7.2916666666666659E-3</v>
      </c>
      <c r="C32" s="2">
        <f>B32/5</f>
        <v>1.4583333333333332E-3</v>
      </c>
      <c r="D32">
        <f>RANK(B32,$B$28:$B$32,1)</f>
        <v>5</v>
      </c>
    </row>
  </sheetData>
  <mergeCells count="5">
    <mergeCell ref="A1:I1"/>
    <mergeCell ref="A26:D26"/>
    <mergeCell ref="A2:D2"/>
    <mergeCell ref="F2:I2"/>
    <mergeCell ref="F26:I26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4B7-E9C8-4830-A0E7-A689936097C7}">
  <dimension ref="A1:I28"/>
  <sheetViews>
    <sheetView topLeftCell="A2" workbookViewId="0">
      <selection activeCell="C4" sqref="C4"/>
    </sheetView>
  </sheetViews>
  <sheetFormatPr defaultRowHeight="14.4" x14ac:dyDescent="0.55000000000000004"/>
  <cols>
    <col min="1" max="1" width="27.68359375" bestFit="1" customWidth="1"/>
    <col min="2" max="2" width="10.68359375" bestFit="1" customWidth="1"/>
    <col min="3" max="3" width="16.68359375" customWidth="1"/>
    <col min="4" max="4" width="14.83984375" customWidth="1"/>
    <col min="6" max="6" width="24.15625" bestFit="1" customWidth="1"/>
    <col min="8" max="8" width="16.68359375" customWidth="1"/>
    <col min="9" max="9" width="15.83984375" customWidth="1"/>
  </cols>
  <sheetData>
    <row r="1" spans="1:9" ht="25.8" x14ac:dyDescent="0.95">
      <c r="A1" s="65" t="s">
        <v>33</v>
      </c>
      <c r="B1" s="65"/>
      <c r="C1" s="65"/>
      <c r="D1" s="65"/>
      <c r="E1" s="65"/>
      <c r="F1" s="65"/>
      <c r="G1" s="65"/>
      <c r="H1" s="65"/>
      <c r="I1" s="65"/>
    </row>
    <row r="2" spans="1:9" x14ac:dyDescent="0.55000000000000004">
      <c r="A2" s="63" t="s">
        <v>3</v>
      </c>
      <c r="B2" s="63"/>
      <c r="C2" s="63"/>
      <c r="D2" s="63"/>
      <c r="F2" s="63" t="s">
        <v>36</v>
      </c>
      <c r="G2" s="63"/>
      <c r="H2" s="63"/>
      <c r="I2" s="63"/>
    </row>
    <row r="3" spans="1:9" ht="14.7" thickBot="1" x14ac:dyDescent="0.6">
      <c r="A3" s="9" t="s">
        <v>1</v>
      </c>
      <c r="B3" s="10" t="s">
        <v>2</v>
      </c>
      <c r="C3" s="10" t="s">
        <v>63</v>
      </c>
      <c r="D3" s="11" t="s">
        <v>30</v>
      </c>
      <c r="F3" s="9" t="s">
        <v>1</v>
      </c>
      <c r="G3" s="10" t="s">
        <v>2</v>
      </c>
      <c r="H3" s="10" t="s">
        <v>63</v>
      </c>
      <c r="I3" s="11" t="s">
        <v>31</v>
      </c>
    </row>
    <row r="4" spans="1:9" ht="14.7" thickTop="1" x14ac:dyDescent="0.55000000000000004">
      <c r="A4" t="s">
        <v>14</v>
      </c>
      <c r="B4" s="21">
        <v>1.2106828703703705E-2</v>
      </c>
      <c r="C4" s="24">
        <f>B4/5</f>
        <v>2.4213657407407409E-3</v>
      </c>
      <c r="D4">
        <f t="shared" ref="D4:D22" si="0">RANK(B4,$B$4:$B$22,1)</f>
        <v>1</v>
      </c>
      <c r="F4" t="s">
        <v>17</v>
      </c>
      <c r="G4" s="21">
        <v>1.4093287037037038E-2</v>
      </c>
      <c r="H4" s="24">
        <f t="shared" ref="H4:H10" si="1">G4/5</f>
        <v>2.8186574074074077E-3</v>
      </c>
      <c r="I4">
        <f t="shared" ref="I4:I10" si="2">RANK(G4,$G$4:$G$10,1)</f>
        <v>2</v>
      </c>
    </row>
    <row r="5" spans="1:9" x14ac:dyDescent="0.55000000000000004">
      <c r="A5" t="s">
        <v>5</v>
      </c>
      <c r="B5" s="21">
        <v>1.2147800925925926E-2</v>
      </c>
      <c r="C5" s="24">
        <f t="shared" ref="C5:C22" si="3">B5/5</f>
        <v>2.4295601851851852E-3</v>
      </c>
      <c r="D5">
        <f t="shared" si="0"/>
        <v>2</v>
      </c>
      <c r="F5" t="s">
        <v>8</v>
      </c>
      <c r="G5" s="21">
        <v>1.4285300925925925E-2</v>
      </c>
      <c r="H5" s="24">
        <f t="shared" si="1"/>
        <v>2.8570601851851851E-3</v>
      </c>
      <c r="I5">
        <f t="shared" si="2"/>
        <v>3</v>
      </c>
    </row>
    <row r="6" spans="1:9" x14ac:dyDescent="0.55000000000000004">
      <c r="A6" s="12" t="s">
        <v>12</v>
      </c>
      <c r="B6" s="21">
        <v>1.2239004629629631E-2</v>
      </c>
      <c r="C6" s="24">
        <f t="shared" si="3"/>
        <v>2.4478009259259262E-3</v>
      </c>
      <c r="D6">
        <f t="shared" si="0"/>
        <v>3</v>
      </c>
      <c r="F6" t="s">
        <v>60</v>
      </c>
      <c r="G6" s="21">
        <v>1.5341319444444444E-2</v>
      </c>
      <c r="H6" s="24">
        <f t="shared" si="1"/>
        <v>3.0682638888888886E-3</v>
      </c>
      <c r="I6">
        <f t="shared" si="2"/>
        <v>4</v>
      </c>
    </row>
    <row r="7" spans="1:9" x14ac:dyDescent="0.55000000000000004">
      <c r="A7" t="s">
        <v>55</v>
      </c>
      <c r="B7" s="21">
        <v>1.240763888888889E-2</v>
      </c>
      <c r="C7" s="24">
        <f t="shared" si="3"/>
        <v>2.4815277777777778E-3</v>
      </c>
      <c r="D7">
        <f t="shared" si="0"/>
        <v>4</v>
      </c>
      <c r="F7" t="s">
        <v>61</v>
      </c>
      <c r="G7" s="21">
        <v>1.5438773148148149E-2</v>
      </c>
      <c r="H7" s="24">
        <f t="shared" si="1"/>
        <v>3.08775462962963E-3</v>
      </c>
      <c r="I7">
        <f t="shared" si="2"/>
        <v>5</v>
      </c>
    </row>
    <row r="8" spans="1:9" x14ac:dyDescent="0.55000000000000004">
      <c r="A8" t="s">
        <v>23</v>
      </c>
      <c r="B8" s="21">
        <v>1.2430555555555554E-2</v>
      </c>
      <c r="C8" s="24">
        <f t="shared" si="3"/>
        <v>2.4861111111111108E-3</v>
      </c>
      <c r="D8">
        <f t="shared" si="0"/>
        <v>5</v>
      </c>
      <c r="F8" t="s">
        <v>10</v>
      </c>
      <c r="G8" s="21">
        <v>1.604386574074074E-2</v>
      </c>
      <c r="H8" s="24">
        <f t="shared" si="1"/>
        <v>3.2087731481481481E-3</v>
      </c>
      <c r="I8">
        <f t="shared" si="2"/>
        <v>6</v>
      </c>
    </row>
    <row r="9" spans="1:9" x14ac:dyDescent="0.55000000000000004">
      <c r="A9" t="s">
        <v>56</v>
      </c>
      <c r="B9" s="21">
        <v>1.3247569444444445E-2</v>
      </c>
      <c r="C9" s="24">
        <f t="shared" si="3"/>
        <v>2.6495138888888892E-3</v>
      </c>
      <c r="D9">
        <f t="shared" si="0"/>
        <v>6</v>
      </c>
      <c r="F9" t="s">
        <v>24</v>
      </c>
      <c r="G9" s="21">
        <v>1.6134722222222224E-2</v>
      </c>
      <c r="H9" s="24">
        <f t="shared" si="1"/>
        <v>3.2269444444444446E-3</v>
      </c>
      <c r="I9">
        <f t="shared" si="2"/>
        <v>7</v>
      </c>
    </row>
    <row r="10" spans="1:9" x14ac:dyDescent="0.55000000000000004">
      <c r="A10" t="s">
        <v>57</v>
      </c>
      <c r="B10" s="21">
        <v>1.3337962962962963E-2</v>
      </c>
      <c r="C10" s="24">
        <f t="shared" si="3"/>
        <v>2.6675925925925925E-3</v>
      </c>
      <c r="D10">
        <f t="shared" si="0"/>
        <v>7</v>
      </c>
      <c r="F10" t="s">
        <v>54</v>
      </c>
      <c r="G10" s="21">
        <v>1.4089814814814814E-2</v>
      </c>
      <c r="H10" s="24">
        <f t="shared" si="1"/>
        <v>2.8179629629629627E-3</v>
      </c>
      <c r="I10">
        <f t="shared" si="2"/>
        <v>1</v>
      </c>
    </row>
    <row r="11" spans="1:9" x14ac:dyDescent="0.55000000000000004">
      <c r="A11" t="s">
        <v>6</v>
      </c>
      <c r="B11" s="21">
        <v>1.368090277777778E-2</v>
      </c>
      <c r="C11" s="24">
        <f t="shared" si="3"/>
        <v>2.7361805555555559E-3</v>
      </c>
      <c r="D11">
        <f t="shared" si="0"/>
        <v>8</v>
      </c>
    </row>
    <row r="12" spans="1:9" x14ac:dyDescent="0.55000000000000004">
      <c r="A12" t="s">
        <v>22</v>
      </c>
      <c r="B12" s="21">
        <v>0.83843749999999995</v>
      </c>
      <c r="C12" s="24">
        <f t="shared" si="3"/>
        <v>0.16768749999999999</v>
      </c>
      <c r="D12">
        <f t="shared" si="0"/>
        <v>19</v>
      </c>
    </row>
    <row r="13" spans="1:9" x14ac:dyDescent="0.55000000000000004">
      <c r="A13" t="s">
        <v>54</v>
      </c>
      <c r="B13" s="21">
        <v>1.4089814814814814E-2</v>
      </c>
      <c r="C13" s="24">
        <f t="shared" si="3"/>
        <v>2.8179629629629627E-3</v>
      </c>
      <c r="D13">
        <f t="shared" si="0"/>
        <v>9</v>
      </c>
    </row>
    <row r="14" spans="1:9" x14ac:dyDescent="0.55000000000000004">
      <c r="A14" t="s">
        <v>17</v>
      </c>
      <c r="B14" s="21">
        <v>1.4093287037037038E-2</v>
      </c>
      <c r="C14" s="24">
        <f t="shared" si="3"/>
        <v>2.8186574074074077E-3</v>
      </c>
      <c r="D14">
        <f t="shared" si="0"/>
        <v>10</v>
      </c>
    </row>
    <row r="15" spans="1:9" x14ac:dyDescent="0.55000000000000004">
      <c r="A15" t="s">
        <v>8</v>
      </c>
      <c r="B15" s="21">
        <v>1.4285300925925925E-2</v>
      </c>
      <c r="C15" s="24">
        <f t="shared" si="3"/>
        <v>2.8570601851851851E-3</v>
      </c>
      <c r="D15">
        <f t="shared" si="0"/>
        <v>11</v>
      </c>
    </row>
    <row r="16" spans="1:9" x14ac:dyDescent="0.55000000000000004">
      <c r="A16" t="s">
        <v>58</v>
      </c>
      <c r="B16" s="21">
        <v>1.4428935185185184E-2</v>
      </c>
      <c r="C16" s="24">
        <f t="shared" si="3"/>
        <v>2.8857870370370365E-3</v>
      </c>
      <c r="D16">
        <f t="shared" si="0"/>
        <v>12</v>
      </c>
    </row>
    <row r="17" spans="1:9" x14ac:dyDescent="0.55000000000000004">
      <c r="A17" t="s">
        <v>59</v>
      </c>
      <c r="B17" s="21">
        <v>1.4733912037037037E-2</v>
      </c>
      <c r="C17" s="24">
        <f t="shared" si="3"/>
        <v>2.9467824074074075E-3</v>
      </c>
      <c r="D17">
        <f t="shared" si="0"/>
        <v>13</v>
      </c>
    </row>
    <row r="18" spans="1:9" x14ac:dyDescent="0.55000000000000004">
      <c r="A18" t="s">
        <v>60</v>
      </c>
      <c r="B18" s="21">
        <v>1.5341319444444444E-2</v>
      </c>
      <c r="C18" s="24">
        <f t="shared" si="3"/>
        <v>3.0682638888888886E-3</v>
      </c>
      <c r="D18">
        <f t="shared" si="0"/>
        <v>14</v>
      </c>
    </row>
    <row r="19" spans="1:9" x14ac:dyDescent="0.55000000000000004">
      <c r="A19" t="s">
        <v>61</v>
      </c>
      <c r="B19" s="21">
        <v>1.5438773148148149E-2</v>
      </c>
      <c r="C19" s="24">
        <f t="shared" si="3"/>
        <v>3.08775462962963E-3</v>
      </c>
      <c r="D19">
        <f t="shared" si="0"/>
        <v>15</v>
      </c>
    </row>
    <row r="20" spans="1:9" x14ac:dyDescent="0.55000000000000004">
      <c r="A20" t="s">
        <v>10</v>
      </c>
      <c r="B20" s="21">
        <v>1.604386574074074E-2</v>
      </c>
      <c r="C20" s="24">
        <f t="shared" si="3"/>
        <v>3.2087731481481481E-3</v>
      </c>
      <c r="D20">
        <f t="shared" si="0"/>
        <v>16</v>
      </c>
    </row>
    <row r="21" spans="1:9" x14ac:dyDescent="0.55000000000000004">
      <c r="A21" t="s">
        <v>24</v>
      </c>
      <c r="B21" s="21">
        <v>1.6134722222222224E-2</v>
      </c>
      <c r="C21" s="24">
        <f t="shared" si="3"/>
        <v>3.2269444444444446E-3</v>
      </c>
      <c r="D21">
        <f t="shared" si="0"/>
        <v>17</v>
      </c>
    </row>
    <row r="22" spans="1:9" x14ac:dyDescent="0.55000000000000004">
      <c r="A22" t="s">
        <v>11</v>
      </c>
      <c r="B22" s="21">
        <v>1.6985879629629632E-2</v>
      </c>
      <c r="C22" s="24">
        <f t="shared" si="3"/>
        <v>3.3971759259259263E-3</v>
      </c>
      <c r="D22">
        <f t="shared" si="0"/>
        <v>18</v>
      </c>
    </row>
    <row r="25" spans="1:9" x14ac:dyDescent="0.55000000000000004">
      <c r="A25" s="63" t="s">
        <v>4</v>
      </c>
      <c r="B25" s="63"/>
      <c r="C25" s="63"/>
      <c r="D25" s="63"/>
      <c r="F25" s="63" t="s">
        <v>35</v>
      </c>
      <c r="G25" s="63"/>
      <c r="H25" s="63"/>
      <c r="I25" s="63"/>
    </row>
    <row r="26" spans="1:9" ht="14.7" thickBot="1" x14ac:dyDescent="0.6">
      <c r="A26" t="s">
        <v>1</v>
      </c>
      <c r="B26" t="s">
        <v>2</v>
      </c>
      <c r="C26" s="25" t="s">
        <v>63</v>
      </c>
      <c r="D26" t="s">
        <v>30</v>
      </c>
      <c r="F26" s="20" t="s">
        <v>1</v>
      </c>
      <c r="G26" s="18" t="s">
        <v>2</v>
      </c>
      <c r="H26" s="25" t="s">
        <v>63</v>
      </c>
      <c r="I26" s="19" t="s">
        <v>30</v>
      </c>
    </row>
    <row r="27" spans="1:9" ht="14.7" thickTop="1" x14ac:dyDescent="0.55000000000000004">
      <c r="A27" t="s">
        <v>29</v>
      </c>
      <c r="B27" s="21">
        <v>1.3670486111111111E-2</v>
      </c>
      <c r="C27" s="24">
        <f>B27/5</f>
        <v>2.734097222222222E-3</v>
      </c>
      <c r="D27">
        <f t="shared" ref="D27:D28" si="4">RANK(B27,$B$27:$B$28,1)</f>
        <v>1</v>
      </c>
    </row>
    <row r="28" spans="1:9" x14ac:dyDescent="0.55000000000000004">
      <c r="A28" t="s">
        <v>62</v>
      </c>
      <c r="B28" s="21">
        <v>1.8852199074074073E-2</v>
      </c>
      <c r="C28" s="24">
        <f>B28/5</f>
        <v>3.7704398148148146E-3</v>
      </c>
      <c r="D28">
        <f t="shared" si="4"/>
        <v>2</v>
      </c>
    </row>
  </sheetData>
  <mergeCells count="5">
    <mergeCell ref="A1:I1"/>
    <mergeCell ref="A2:D2"/>
    <mergeCell ref="F2:I2"/>
    <mergeCell ref="A25:D25"/>
    <mergeCell ref="F25:I25"/>
  </mergeCells>
  <pageMargins left="0.7" right="0.7" top="0.75" bottom="0.75" header="0.3" footer="0.3"/>
  <pageSetup paperSize="9" orientation="portrait" verticalDpi="598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F97A-A763-4865-B78E-0E90AE398D39}">
  <dimension ref="A1:X42"/>
  <sheetViews>
    <sheetView workbookViewId="0">
      <selection activeCell="Y9" sqref="Y9"/>
    </sheetView>
  </sheetViews>
  <sheetFormatPr defaultRowHeight="14.4" x14ac:dyDescent="0.55000000000000004"/>
  <cols>
    <col min="1" max="1" width="20.3125" customWidth="1"/>
    <col min="2" max="5" width="7.68359375" bestFit="1" customWidth="1"/>
    <col min="6" max="6" width="7.89453125" customWidth="1"/>
    <col min="7" max="8" width="7.68359375" bestFit="1" customWidth="1"/>
    <col min="9" max="9" width="7.89453125" customWidth="1"/>
    <col min="10" max="10" width="11.47265625" customWidth="1"/>
    <col min="11" max="11" width="10.68359375" customWidth="1"/>
    <col min="14" max="14" width="15.3125" customWidth="1"/>
    <col min="15" max="18" width="7.68359375" bestFit="1" customWidth="1"/>
    <col min="19" max="19" width="7.89453125" customWidth="1"/>
    <col min="20" max="21" width="7.68359375" bestFit="1" customWidth="1"/>
    <col min="22" max="22" width="7.89453125" customWidth="1"/>
    <col min="23" max="23" width="11.47265625" customWidth="1"/>
    <col min="24" max="24" width="10.68359375" customWidth="1"/>
  </cols>
  <sheetData>
    <row r="1" spans="1:24" ht="25.8" x14ac:dyDescent="0.95">
      <c r="A1" s="65" t="s">
        <v>38</v>
      </c>
      <c r="B1" s="65"/>
      <c r="C1" s="65"/>
      <c r="D1" s="65"/>
      <c r="E1" s="65"/>
      <c r="F1" s="65"/>
      <c r="G1" s="65"/>
      <c r="H1" s="65"/>
      <c r="I1" s="65"/>
    </row>
    <row r="2" spans="1:24" x14ac:dyDescent="0.55000000000000004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N2" s="63" t="s">
        <v>43</v>
      </c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x14ac:dyDescent="0.55000000000000004">
      <c r="A3" t="s">
        <v>1</v>
      </c>
      <c r="B3" t="s">
        <v>68</v>
      </c>
      <c r="C3" t="s">
        <v>34</v>
      </c>
      <c r="D3" t="s">
        <v>67</v>
      </c>
      <c r="E3" t="s">
        <v>66</v>
      </c>
      <c r="F3" t="s">
        <v>74</v>
      </c>
      <c r="G3" t="s">
        <v>65</v>
      </c>
      <c r="H3" t="s">
        <v>64</v>
      </c>
      <c r="I3" t="s">
        <v>75</v>
      </c>
      <c r="J3" t="s">
        <v>69</v>
      </c>
      <c r="K3" t="s">
        <v>70</v>
      </c>
      <c r="N3" t="s">
        <v>1</v>
      </c>
      <c r="O3" t="s">
        <v>68</v>
      </c>
      <c r="P3" t="s">
        <v>34</v>
      </c>
      <c r="Q3" t="s">
        <v>67</v>
      </c>
      <c r="R3" t="s">
        <v>66</v>
      </c>
      <c r="S3" t="s">
        <v>74</v>
      </c>
      <c r="T3" t="s">
        <v>65</v>
      </c>
      <c r="U3" t="s">
        <v>64</v>
      </c>
      <c r="V3" t="s">
        <v>75</v>
      </c>
      <c r="W3" t="s">
        <v>69</v>
      </c>
      <c r="X3" t="s">
        <v>70</v>
      </c>
    </row>
    <row r="4" spans="1:24" x14ac:dyDescent="0.55000000000000004">
      <c r="A4" t="s">
        <v>14</v>
      </c>
      <c r="B4" s="21">
        <v>1.1475405092592593E-2</v>
      </c>
      <c r="C4" s="21">
        <f>B4/4.94</f>
        <v>2.3229564964762331E-3</v>
      </c>
      <c r="D4" s="21">
        <v>0</v>
      </c>
      <c r="E4" s="21">
        <v>1.9367025462962963E-2</v>
      </c>
      <c r="F4" s="21">
        <f>E4/18.8</f>
        <v>1.0301609288810086E-3</v>
      </c>
      <c r="G4" s="21">
        <v>2.4987268518518517E-4</v>
      </c>
      <c r="H4" s="21">
        <v>1.1320787037037037E-2</v>
      </c>
      <c r="I4" s="21">
        <f>H4/4.94</f>
        <v>2.2916572949467683E-3</v>
      </c>
      <c r="J4" s="34">
        <f>B4+D4+E4+G4+H4</f>
        <v>4.241309027777778E-2</v>
      </c>
      <c r="K4">
        <f t="shared" ref="K4:K15" si="0">IF(J4="DNF",COUNT($J$4:$J$15)+1,RANK(J4,$J$4:$J$15,1))</f>
        <v>1</v>
      </c>
      <c r="N4" t="s">
        <v>8</v>
      </c>
      <c r="O4" s="21">
        <v>1.3666284722222222E-2</v>
      </c>
      <c r="P4" s="21">
        <v>2.7664543972109757E-3</v>
      </c>
      <c r="Q4" s="21">
        <v>6.2822916666666669E-4</v>
      </c>
      <c r="R4" s="21">
        <v>2.254971064814815E-2</v>
      </c>
      <c r="S4" s="21">
        <v>1.1994526940504334E-3</v>
      </c>
      <c r="T4" s="21">
        <v>5.1480324074074069E-4</v>
      </c>
      <c r="U4" s="21">
        <v>1.4356574074074075E-2</v>
      </c>
      <c r="V4" s="21">
        <v>2.9061890838206626E-3</v>
      </c>
      <c r="W4" s="34">
        <v>5.1715601851851853E-2</v>
      </c>
      <c r="X4">
        <f>RANK(W4,$W$4:$W$6,1)</f>
        <v>2</v>
      </c>
    </row>
    <row r="5" spans="1:24" x14ac:dyDescent="0.55000000000000004">
      <c r="A5" t="s">
        <v>5</v>
      </c>
      <c r="B5" s="21">
        <v>1.1840625E-2</v>
      </c>
      <c r="C5" s="21">
        <f t="shared" ref="C5:C14" si="1">B5/4.94</f>
        <v>2.3968876518218624E-3</v>
      </c>
      <c r="D5" s="21">
        <v>4.3813657407407403E-4</v>
      </c>
      <c r="E5" s="21">
        <v>1.8327083333333331E-2</v>
      </c>
      <c r="F5" s="21">
        <f t="shared" ref="F5:F14" si="2">E5/18.8</f>
        <v>9.7484485815602822E-4</v>
      </c>
      <c r="G5" s="21">
        <v>3.8287037037037038E-4</v>
      </c>
      <c r="H5" s="21">
        <v>1.2670520833333336E-2</v>
      </c>
      <c r="I5" s="21">
        <f t="shared" ref="I5:I14" si="3">H5/4.94</f>
        <v>2.564882759784076E-3</v>
      </c>
      <c r="J5" s="34">
        <f>B5+D5+E5+G5+H5</f>
        <v>4.365923611111111E-2</v>
      </c>
      <c r="K5">
        <f t="shared" si="0"/>
        <v>2</v>
      </c>
      <c r="N5" t="s">
        <v>72</v>
      </c>
      <c r="O5" s="21">
        <v>1.5456446759259258E-2</v>
      </c>
      <c r="P5" s="21">
        <v>3.1288353763682707E-3</v>
      </c>
      <c r="Q5" s="21">
        <v>6.4968749999999998E-4</v>
      </c>
      <c r="R5" s="21">
        <v>2.5742025462962961E-2</v>
      </c>
      <c r="S5" s="21">
        <v>1.3692566735618596E-3</v>
      </c>
      <c r="T5" s="21">
        <v>5.1623842592592596E-4</v>
      </c>
      <c r="U5" s="21">
        <v>1.5310868055555557E-2</v>
      </c>
      <c r="V5" s="21">
        <v>3.0993660031488979E-3</v>
      </c>
      <c r="W5" s="34">
        <v>5.7675266203703709E-2</v>
      </c>
      <c r="X5">
        <f t="shared" ref="X5:X6" si="4">RANK(W5,$W$4:$W$6,1)</f>
        <v>3</v>
      </c>
    </row>
    <row r="6" spans="1:24" x14ac:dyDescent="0.55000000000000004">
      <c r="A6" t="s">
        <v>57</v>
      </c>
      <c r="B6" s="21">
        <v>1.2734942129629631E-2</v>
      </c>
      <c r="C6" s="21">
        <f t="shared" si="1"/>
        <v>2.5779235080221922E-3</v>
      </c>
      <c r="D6" s="21">
        <v>4.4497685185185178E-4</v>
      </c>
      <c r="E6" s="21">
        <v>2.0951307870370372E-2</v>
      </c>
      <c r="F6" s="21">
        <f t="shared" si="2"/>
        <v>1.1144312697005518E-3</v>
      </c>
      <c r="G6" s="21">
        <v>7.6493055555555548E-4</v>
      </c>
      <c r="H6" s="21">
        <v>1.2787800925925928E-2</v>
      </c>
      <c r="I6" s="21">
        <f t="shared" si="3"/>
        <v>2.5886236692157748E-3</v>
      </c>
      <c r="J6" s="34">
        <f t="shared" ref="J6:J15" si="5">B6+D6+E6+G6+H6</f>
        <v>4.7683958333333339E-2</v>
      </c>
      <c r="K6">
        <f t="shared" si="0"/>
        <v>3</v>
      </c>
      <c r="N6" t="s">
        <v>54</v>
      </c>
      <c r="O6" s="21">
        <v>1.3650254629629629E-2</v>
      </c>
      <c r="P6" s="21">
        <f t="shared" ref="P6" si="6">O6/4.94</f>
        <v>2.7632094391962809E-3</v>
      </c>
      <c r="Q6" s="21">
        <v>3.593634259259259E-4</v>
      </c>
      <c r="R6" s="21">
        <v>2.1197800925925925E-2</v>
      </c>
      <c r="S6" s="21">
        <f t="shared" ref="S6" si="7">R6/18.8</f>
        <v>1.1275426024428684E-3</v>
      </c>
      <c r="T6" s="21">
        <v>5.4103009259259252E-4</v>
      </c>
      <c r="U6" s="21">
        <v>1.336269675925926E-2</v>
      </c>
      <c r="V6" s="21">
        <f t="shared" ref="V6" si="8">U6/4.94</f>
        <v>2.704999343979607E-3</v>
      </c>
      <c r="W6" s="34">
        <f t="shared" ref="W6" si="9">O6+Q6+R6+T6+U6</f>
        <v>4.9111145833333335E-2</v>
      </c>
      <c r="X6">
        <f t="shared" si="4"/>
        <v>1</v>
      </c>
    </row>
    <row r="7" spans="1:24" x14ac:dyDescent="0.55000000000000004">
      <c r="A7" t="s">
        <v>55</v>
      </c>
      <c r="B7" s="21">
        <v>1.1713032407407406E-2</v>
      </c>
      <c r="C7" s="21">
        <f t="shared" si="1"/>
        <v>2.3710591917828756E-3</v>
      </c>
      <c r="D7" s="21">
        <v>6.2593750000000008E-4</v>
      </c>
      <c r="E7" s="21">
        <v>2.3352870370370368E-2</v>
      </c>
      <c r="F7" s="21">
        <f t="shared" si="2"/>
        <v>1.2421739558707641E-3</v>
      </c>
      <c r="G7" s="21">
        <v>5.6552083333333324E-4</v>
      </c>
      <c r="H7" s="21">
        <v>1.2003912037037037E-2</v>
      </c>
      <c r="I7" s="21">
        <f t="shared" si="3"/>
        <v>2.4299417079022339E-3</v>
      </c>
      <c r="J7" s="34">
        <f t="shared" si="5"/>
        <v>4.8261273148148147E-2</v>
      </c>
      <c r="K7">
        <f t="shared" si="0"/>
        <v>4</v>
      </c>
      <c r="O7" s="21"/>
      <c r="Q7" s="21"/>
      <c r="R7" s="21"/>
      <c r="T7" s="21"/>
      <c r="U7" s="21"/>
      <c r="W7" s="34"/>
    </row>
    <row r="8" spans="1:24" x14ac:dyDescent="0.55000000000000004">
      <c r="A8" t="s">
        <v>54</v>
      </c>
      <c r="B8" s="21">
        <v>1.3650254629629629E-2</v>
      </c>
      <c r="C8" s="21">
        <f t="shared" si="1"/>
        <v>2.7632094391962809E-3</v>
      </c>
      <c r="D8" s="21">
        <v>3.593634259259259E-4</v>
      </c>
      <c r="E8" s="21">
        <v>2.1197800925925925E-2</v>
      </c>
      <c r="F8" s="21">
        <f t="shared" si="2"/>
        <v>1.1275426024428684E-3</v>
      </c>
      <c r="G8" s="21">
        <v>5.4103009259259252E-4</v>
      </c>
      <c r="H8" s="21">
        <v>1.336269675925926E-2</v>
      </c>
      <c r="I8" s="21">
        <f t="shared" si="3"/>
        <v>2.704999343979607E-3</v>
      </c>
      <c r="J8" s="34">
        <f t="shared" si="5"/>
        <v>4.9111145833333335E-2</v>
      </c>
      <c r="K8">
        <f t="shared" si="0"/>
        <v>6</v>
      </c>
      <c r="O8" s="21"/>
      <c r="Q8" s="21"/>
      <c r="R8" s="21"/>
      <c r="T8" s="21"/>
      <c r="U8" s="21"/>
      <c r="W8" s="34"/>
    </row>
    <row r="9" spans="1:24" x14ac:dyDescent="0.55000000000000004">
      <c r="A9" t="s">
        <v>8</v>
      </c>
      <c r="B9" s="21">
        <v>1.3666284722222222E-2</v>
      </c>
      <c r="C9" s="21">
        <f t="shared" si="1"/>
        <v>2.7664543972109757E-3</v>
      </c>
      <c r="D9" s="21">
        <v>6.2822916666666669E-4</v>
      </c>
      <c r="E9" s="21">
        <v>2.254971064814815E-2</v>
      </c>
      <c r="F9" s="21">
        <f t="shared" si="2"/>
        <v>1.1994526940504334E-3</v>
      </c>
      <c r="G9" s="21">
        <v>5.1480324074074069E-4</v>
      </c>
      <c r="H9" s="21">
        <v>1.4356574074074075E-2</v>
      </c>
      <c r="I9" s="21">
        <f t="shared" si="3"/>
        <v>2.9061890838206626E-3</v>
      </c>
      <c r="J9" s="34">
        <f t="shared" si="5"/>
        <v>5.1715601851851853E-2</v>
      </c>
      <c r="K9">
        <f t="shared" si="0"/>
        <v>7</v>
      </c>
      <c r="O9" s="21"/>
      <c r="Q9" s="21"/>
      <c r="R9" s="21"/>
      <c r="T9" s="21"/>
      <c r="U9" s="21"/>
      <c r="W9" s="34"/>
    </row>
    <row r="10" spans="1:24" x14ac:dyDescent="0.55000000000000004">
      <c r="A10" t="s">
        <v>19</v>
      </c>
      <c r="B10" s="21">
        <v>1.5430706018518517E-2</v>
      </c>
      <c r="C10" s="21">
        <f t="shared" si="1"/>
        <v>3.1236247001049629E-3</v>
      </c>
      <c r="D10" s="21">
        <v>6.5773148148148147E-4</v>
      </c>
      <c r="E10" s="21">
        <v>2.3170613425925926E-2</v>
      </c>
      <c r="F10" s="21">
        <f t="shared" si="2"/>
        <v>1.2324794375492513E-3</v>
      </c>
      <c r="G10" s="21">
        <v>7.0364583333333336E-4</v>
      </c>
      <c r="H10" s="21">
        <v>1.6021226851851852E-2</v>
      </c>
      <c r="I10" s="21">
        <f t="shared" si="3"/>
        <v>3.243163330334383E-3</v>
      </c>
      <c r="J10" s="34">
        <f t="shared" si="5"/>
        <v>5.5983923611111111E-2</v>
      </c>
      <c r="K10">
        <f t="shared" si="0"/>
        <v>8</v>
      </c>
      <c r="O10" s="21"/>
      <c r="Q10" s="21"/>
      <c r="R10" s="21"/>
      <c r="T10" s="21"/>
      <c r="U10" s="21"/>
      <c r="W10" s="34"/>
    </row>
    <row r="11" spans="1:24" x14ac:dyDescent="0.55000000000000004">
      <c r="A11" t="s">
        <v>71</v>
      </c>
      <c r="B11" s="21">
        <v>1.5879837962962964E-2</v>
      </c>
      <c r="C11" s="21">
        <f t="shared" si="1"/>
        <v>3.2145420977657819E-3</v>
      </c>
      <c r="D11" s="21">
        <v>5.3795138888888892E-4</v>
      </c>
      <c r="E11" s="21">
        <v>2.4034456018518519E-2</v>
      </c>
      <c r="F11" s="21">
        <f t="shared" si="2"/>
        <v>1.2784285116233254E-3</v>
      </c>
      <c r="G11" s="21">
        <v>6.817476851851853E-4</v>
      </c>
      <c r="H11" s="21">
        <v>1.5636111111111111E-2</v>
      </c>
      <c r="I11" s="21">
        <f t="shared" si="3"/>
        <v>3.1652046783625727E-3</v>
      </c>
      <c r="J11" s="34">
        <f t="shared" si="5"/>
        <v>5.6770104166666668E-2</v>
      </c>
      <c r="K11">
        <f t="shared" si="0"/>
        <v>9</v>
      </c>
      <c r="O11" s="21"/>
      <c r="Q11" s="21"/>
      <c r="R11" s="21"/>
      <c r="T11" s="21"/>
      <c r="U11" s="21"/>
      <c r="W11" s="34"/>
    </row>
    <row r="12" spans="1:24" x14ac:dyDescent="0.55000000000000004">
      <c r="A12" t="s">
        <v>11</v>
      </c>
      <c r="B12" s="21">
        <v>1.6528217592592594E-2</v>
      </c>
      <c r="C12" s="21">
        <f t="shared" si="1"/>
        <v>3.345793034937772E-3</v>
      </c>
      <c r="D12" s="21">
        <v>6.1434027777777778E-4</v>
      </c>
      <c r="E12" s="21">
        <v>2.2801770833333332E-2</v>
      </c>
      <c r="F12" s="21">
        <f t="shared" si="2"/>
        <v>1.2128601507092197E-3</v>
      </c>
      <c r="G12" s="21">
        <v>7.8686342592592599E-4</v>
      </c>
      <c r="H12" s="21">
        <v>1.6199143518518519E-2</v>
      </c>
      <c r="I12" s="21">
        <f t="shared" si="3"/>
        <v>3.279178849902534E-3</v>
      </c>
      <c r="J12" s="34">
        <f t="shared" si="5"/>
        <v>5.6930335648148152E-2</v>
      </c>
      <c r="K12">
        <f t="shared" si="0"/>
        <v>10</v>
      </c>
      <c r="O12" s="21"/>
      <c r="Q12" s="21"/>
      <c r="R12" s="21"/>
      <c r="T12" s="21"/>
      <c r="U12" s="21"/>
      <c r="W12" s="34"/>
    </row>
    <row r="13" spans="1:24" x14ac:dyDescent="0.55000000000000004">
      <c r="A13" t="s">
        <v>72</v>
      </c>
      <c r="B13" s="21">
        <v>1.5456446759259258E-2</v>
      </c>
      <c r="C13" s="21">
        <f t="shared" si="1"/>
        <v>3.1288353763682707E-3</v>
      </c>
      <c r="D13" s="21">
        <v>6.4968749999999998E-4</v>
      </c>
      <c r="E13" s="21">
        <v>2.5742025462962961E-2</v>
      </c>
      <c r="F13" s="21">
        <f t="shared" si="2"/>
        <v>1.3692566735618596E-3</v>
      </c>
      <c r="G13" s="21">
        <v>5.1623842592592596E-4</v>
      </c>
      <c r="H13" s="21">
        <v>1.5310868055555557E-2</v>
      </c>
      <c r="I13" s="21">
        <f t="shared" si="3"/>
        <v>3.0993660031488979E-3</v>
      </c>
      <c r="J13" s="34">
        <f t="shared" si="5"/>
        <v>5.7675266203703709E-2</v>
      </c>
      <c r="K13">
        <f t="shared" si="0"/>
        <v>11</v>
      </c>
      <c r="O13" s="21"/>
      <c r="Q13" s="21"/>
      <c r="R13" s="21"/>
      <c r="T13" s="21"/>
      <c r="U13" s="21"/>
      <c r="W13" s="34"/>
    </row>
    <row r="14" spans="1:24" x14ac:dyDescent="0.55000000000000004">
      <c r="A14" t="s">
        <v>18</v>
      </c>
      <c r="B14" s="21">
        <v>1.4093333333333333E-2</v>
      </c>
      <c r="C14" s="21">
        <f t="shared" si="1"/>
        <v>2.8529014844804316E-3</v>
      </c>
      <c r="D14" s="21">
        <v>6.2128472222222229E-4</v>
      </c>
      <c r="E14" s="21">
        <v>1.9862152777777777E-2</v>
      </c>
      <c r="F14" s="21">
        <f t="shared" si="2"/>
        <v>1.056497488179669E-3</v>
      </c>
      <c r="G14" s="21">
        <v>1.3189814814814815E-3</v>
      </c>
      <c r="H14" s="21">
        <v>2.0973217592592592E-2</v>
      </c>
      <c r="I14" s="21">
        <f t="shared" si="3"/>
        <v>4.2455906057879741E-3</v>
      </c>
      <c r="J14" s="34" t="s">
        <v>73</v>
      </c>
      <c r="K14">
        <f t="shared" si="0"/>
        <v>12</v>
      </c>
      <c r="O14" s="21"/>
      <c r="Q14" s="21"/>
      <c r="R14" s="21"/>
      <c r="T14" s="21"/>
      <c r="U14" s="21"/>
      <c r="W14" s="34"/>
    </row>
    <row r="15" spans="1:24" x14ac:dyDescent="0.55000000000000004">
      <c r="A15" t="s">
        <v>56</v>
      </c>
      <c r="B15" s="21">
        <v>1.3324918981481479E-2</v>
      </c>
      <c r="C15" s="21">
        <f>B15/4.94</f>
        <v>2.6973520205428093E-3</v>
      </c>
      <c r="D15" s="21">
        <v>3.8562500000000006E-4</v>
      </c>
      <c r="E15" s="21">
        <v>2.1402013888888891E-2</v>
      </c>
      <c r="F15" s="21">
        <f>E15/18.8</f>
        <v>1.1384049940898345E-3</v>
      </c>
      <c r="G15" s="21">
        <v>4.6721064814814808E-4</v>
      </c>
      <c r="H15" s="21">
        <v>1.3331840277777778E-2</v>
      </c>
      <c r="I15" s="21">
        <f>H15/4.94</f>
        <v>2.6987530926675662E-3</v>
      </c>
      <c r="J15" s="34">
        <f t="shared" si="5"/>
        <v>4.8911608796296295E-2</v>
      </c>
      <c r="K15">
        <f t="shared" si="0"/>
        <v>5</v>
      </c>
      <c r="O15" s="21"/>
      <c r="Q15" s="21"/>
      <c r="R15" s="21"/>
      <c r="T15" s="21"/>
      <c r="U15" s="21"/>
      <c r="W15" s="34"/>
    </row>
    <row r="16" spans="1:24" x14ac:dyDescent="0.55000000000000004">
      <c r="D16" s="21"/>
      <c r="E16" s="21"/>
      <c r="G16" s="21"/>
      <c r="H16" s="21"/>
      <c r="J16" s="34"/>
    </row>
    <row r="17" spans="1:24" x14ac:dyDescent="0.55000000000000004">
      <c r="A17" s="63" t="s">
        <v>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N17" s="63" t="s">
        <v>35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x14ac:dyDescent="0.55000000000000004">
      <c r="A18" t="s">
        <v>1</v>
      </c>
      <c r="B18" t="s">
        <v>68</v>
      </c>
      <c r="C18" t="s">
        <v>34</v>
      </c>
      <c r="D18" t="s">
        <v>67</v>
      </c>
      <c r="E18" t="s">
        <v>66</v>
      </c>
      <c r="F18" t="s">
        <v>74</v>
      </c>
      <c r="G18" t="s">
        <v>65</v>
      </c>
      <c r="H18" t="s">
        <v>64</v>
      </c>
      <c r="I18" t="s">
        <v>75</v>
      </c>
      <c r="J18" t="s">
        <v>69</v>
      </c>
      <c r="K18" t="s">
        <v>70</v>
      </c>
      <c r="N18" t="s">
        <v>1</v>
      </c>
      <c r="O18" t="s">
        <v>68</v>
      </c>
      <c r="P18" t="s">
        <v>34</v>
      </c>
      <c r="Q18" t="s">
        <v>67</v>
      </c>
      <c r="R18" t="s">
        <v>66</v>
      </c>
      <c r="S18" t="s">
        <v>74</v>
      </c>
      <c r="T18" t="s">
        <v>65</v>
      </c>
      <c r="U18" t="s">
        <v>64</v>
      </c>
      <c r="V18" t="s">
        <v>75</v>
      </c>
      <c r="W18" t="s">
        <v>69</v>
      </c>
      <c r="X18" t="s">
        <v>70</v>
      </c>
    </row>
    <row r="19" spans="1:24" x14ac:dyDescent="0.55000000000000004">
      <c r="A19" t="s">
        <v>27</v>
      </c>
      <c r="B19" s="21">
        <v>7.7923263888888886E-3</v>
      </c>
      <c r="C19" s="21">
        <f>B19/2.29</f>
        <v>3.4027626152353225E-3</v>
      </c>
      <c r="D19" s="21">
        <v>8.9221064814814816E-4</v>
      </c>
      <c r="E19" s="21">
        <v>2.4794513888888887E-2</v>
      </c>
      <c r="F19" s="21">
        <f>E19/18.8</f>
        <v>1.3188571217494088E-3</v>
      </c>
      <c r="G19" s="21">
        <v>6.967939814814814E-4</v>
      </c>
      <c r="H19" s="21">
        <v>7.4675231481481493E-3</v>
      </c>
      <c r="I19" s="21">
        <f>H19/2.29</f>
        <v>3.2609271389293227E-3</v>
      </c>
      <c r="J19" s="34">
        <f>B19+D19+E19+G19+H19</f>
        <v>4.1643368055555553E-2</v>
      </c>
      <c r="K19">
        <f>RANK(J19,$J$19:$J$20,1)</f>
        <v>1</v>
      </c>
      <c r="N19" t="s">
        <v>27</v>
      </c>
      <c r="O19" s="21">
        <v>7.7923263888888886E-3</v>
      </c>
      <c r="P19" s="21">
        <f>O19/2.29</f>
        <v>3.4027626152353225E-3</v>
      </c>
      <c r="Q19" s="21">
        <v>8.9221064814814816E-4</v>
      </c>
      <c r="R19" s="21">
        <v>2.4794513888888887E-2</v>
      </c>
      <c r="S19" s="21">
        <f>R19/18.8</f>
        <v>1.3188571217494088E-3</v>
      </c>
      <c r="T19" s="21">
        <v>6.967939814814814E-4</v>
      </c>
      <c r="U19" s="21">
        <v>7.4675231481481493E-3</v>
      </c>
      <c r="V19" s="21">
        <f>U19/2.29</f>
        <v>3.2609271389293227E-3</v>
      </c>
      <c r="W19" s="34">
        <f>O19+Q19+R19+T19+U19</f>
        <v>4.1643368055555553E-2</v>
      </c>
      <c r="X19">
        <f>RANK(W19,$W$19:$W$20,1)</f>
        <v>1</v>
      </c>
    </row>
    <row r="20" spans="1:24" x14ac:dyDescent="0.55000000000000004">
      <c r="A20" t="s">
        <v>62</v>
      </c>
      <c r="B20" s="21">
        <v>8.111006944444445E-3</v>
      </c>
      <c r="C20" s="21">
        <f>B20/2.29</f>
        <v>3.5419244298884041E-3</v>
      </c>
      <c r="D20" s="21">
        <v>8.8938657407407412E-4</v>
      </c>
      <c r="E20" s="21">
        <v>2.5853171296296298E-2</v>
      </c>
      <c r="F20" s="21">
        <f>E20/18.8</f>
        <v>1.3751686859732072E-3</v>
      </c>
      <c r="G20" s="21">
        <v>7.7460648148148148E-4</v>
      </c>
      <c r="H20" s="21">
        <v>9.0954050925925924E-3</v>
      </c>
      <c r="I20" s="21">
        <f>H20/2.29</f>
        <v>3.9717926168526601E-3</v>
      </c>
      <c r="J20" s="34">
        <f>B20+D20+E20+G20+H20</f>
        <v>4.4723576388888894E-2</v>
      </c>
      <c r="K20">
        <f>RANK(J20,$J$19:$J$20,1)</f>
        <v>2</v>
      </c>
      <c r="O20" s="21"/>
      <c r="Q20" s="21"/>
      <c r="R20" s="21"/>
      <c r="T20" s="21"/>
      <c r="U20" s="21"/>
      <c r="W20" s="34"/>
    </row>
    <row r="21" spans="1:24" x14ac:dyDescent="0.55000000000000004">
      <c r="B21" s="21"/>
      <c r="D21" s="21"/>
      <c r="E21" s="21"/>
      <c r="G21" s="21"/>
      <c r="H21" s="21"/>
      <c r="J21" s="34"/>
      <c r="O21" s="21"/>
      <c r="Q21" s="21"/>
      <c r="R21" s="21"/>
      <c r="T21" s="21"/>
      <c r="U21" s="21"/>
      <c r="W21" s="34"/>
    </row>
    <row r="22" spans="1:24" x14ac:dyDescent="0.55000000000000004">
      <c r="B22" s="21"/>
      <c r="D22" s="21"/>
      <c r="E22" s="21"/>
      <c r="G22" s="21"/>
      <c r="H22" s="21"/>
      <c r="J22" s="34"/>
      <c r="O22" s="21"/>
      <c r="Q22" s="21"/>
      <c r="R22" s="21"/>
      <c r="T22" s="21"/>
      <c r="U22" s="21"/>
      <c r="W22" s="34"/>
    </row>
    <row r="23" spans="1:24" x14ac:dyDescent="0.55000000000000004">
      <c r="B23" s="21"/>
      <c r="D23" s="21"/>
      <c r="E23" s="21"/>
      <c r="G23" s="21"/>
      <c r="H23" s="21"/>
      <c r="J23" s="34"/>
      <c r="O23" s="21"/>
      <c r="Q23" s="21"/>
      <c r="R23" s="21"/>
      <c r="T23" s="21"/>
      <c r="U23" s="21"/>
      <c r="W23" s="34"/>
    </row>
    <row r="24" spans="1:24" x14ac:dyDescent="0.55000000000000004">
      <c r="B24" s="21"/>
      <c r="D24" s="21"/>
      <c r="E24" s="21"/>
      <c r="G24" s="21"/>
      <c r="H24" s="21"/>
      <c r="J24" s="34"/>
      <c r="O24" s="21"/>
      <c r="Q24" s="21"/>
      <c r="R24" s="21"/>
      <c r="T24" s="21"/>
      <c r="U24" s="21"/>
      <c r="W24" s="34"/>
    </row>
    <row r="25" spans="1:24" x14ac:dyDescent="0.55000000000000004">
      <c r="B25" s="21"/>
      <c r="D25" s="21"/>
      <c r="E25" s="21"/>
      <c r="G25" s="21"/>
      <c r="H25" s="21"/>
      <c r="J25" s="34"/>
      <c r="O25" s="21"/>
      <c r="Q25" s="21"/>
      <c r="R25" s="21"/>
      <c r="T25" s="21"/>
      <c r="U25" s="21"/>
      <c r="W25" s="34"/>
    </row>
    <row r="26" spans="1:24" x14ac:dyDescent="0.55000000000000004">
      <c r="B26" s="21"/>
      <c r="D26" s="21"/>
      <c r="E26" s="21"/>
      <c r="G26" s="21"/>
      <c r="H26" s="21"/>
      <c r="J26" s="34"/>
      <c r="O26" s="21"/>
      <c r="Q26" s="21"/>
      <c r="R26" s="21"/>
      <c r="T26" s="21"/>
      <c r="U26" s="21"/>
      <c r="W26" s="34"/>
    </row>
    <row r="27" spans="1:24" x14ac:dyDescent="0.55000000000000004">
      <c r="B27" s="21"/>
      <c r="D27" s="21"/>
      <c r="E27" s="21"/>
      <c r="G27" s="21"/>
      <c r="H27" s="21"/>
      <c r="J27" s="34"/>
      <c r="O27" s="21"/>
      <c r="Q27" s="21"/>
      <c r="R27" s="21"/>
      <c r="T27" s="21"/>
      <c r="U27" s="21"/>
      <c r="W27" s="34"/>
    </row>
    <row r="28" spans="1:24" x14ac:dyDescent="0.55000000000000004">
      <c r="B28" s="21"/>
      <c r="D28" s="21"/>
      <c r="E28" s="21"/>
      <c r="G28" s="21"/>
      <c r="H28" s="21"/>
      <c r="J28" s="21"/>
      <c r="O28" s="21"/>
      <c r="Q28" s="21"/>
      <c r="R28" s="21"/>
      <c r="T28" s="21"/>
      <c r="U28" s="21"/>
      <c r="W28" s="21"/>
    </row>
    <row r="29" spans="1:24" x14ac:dyDescent="0.55000000000000004">
      <c r="B29" s="21"/>
      <c r="D29" s="21"/>
      <c r="E29" s="21"/>
      <c r="G29" s="21"/>
      <c r="H29" s="21"/>
      <c r="J29" s="21"/>
      <c r="O29" s="21"/>
      <c r="Q29" s="21"/>
      <c r="R29" s="21"/>
      <c r="T29" s="21"/>
      <c r="U29" s="21"/>
      <c r="W29" s="21"/>
    </row>
    <row r="30" spans="1:24" x14ac:dyDescent="0.55000000000000004">
      <c r="B30" s="21"/>
      <c r="D30" s="21"/>
      <c r="E30" s="21"/>
      <c r="G30" s="21"/>
      <c r="H30" s="21"/>
      <c r="J30" s="21"/>
      <c r="O30" s="21"/>
      <c r="Q30" s="21"/>
      <c r="R30" s="21"/>
      <c r="T30" s="21"/>
      <c r="U30" s="21"/>
      <c r="W30" s="21"/>
    </row>
    <row r="31" spans="1:24" x14ac:dyDescent="0.55000000000000004">
      <c r="B31" s="21"/>
      <c r="D31" s="21"/>
      <c r="E31" s="21"/>
      <c r="G31" s="21"/>
      <c r="H31" s="21"/>
      <c r="J31" s="21"/>
    </row>
    <row r="32" spans="1:24" x14ac:dyDescent="0.55000000000000004">
      <c r="B32" s="21"/>
      <c r="D32" s="21"/>
      <c r="E32" s="21"/>
      <c r="G32" s="21"/>
      <c r="H32" s="21"/>
      <c r="J32" s="21"/>
    </row>
    <row r="42" spans="6:6" x14ac:dyDescent="0.55000000000000004">
      <c r="F42" s="21"/>
    </row>
  </sheetData>
  <mergeCells count="5">
    <mergeCell ref="N17:X17"/>
    <mergeCell ref="N2:X2"/>
    <mergeCell ref="A2:K2"/>
    <mergeCell ref="A17:K17"/>
    <mergeCell ref="A1:I1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89C1-D134-4145-B101-10829314FA63}">
  <dimension ref="A1:I33"/>
  <sheetViews>
    <sheetView workbookViewId="0">
      <selection activeCell="H14" sqref="H14"/>
    </sheetView>
  </sheetViews>
  <sheetFormatPr defaultRowHeight="14.4" x14ac:dyDescent="0.55000000000000004"/>
  <cols>
    <col min="1" max="1" width="23.578125" bestFit="1" customWidth="1"/>
    <col min="2" max="2" width="9.62890625" customWidth="1"/>
    <col min="3" max="3" width="11.7890625" customWidth="1"/>
    <col min="4" max="4" width="12.83984375" customWidth="1"/>
    <col min="6" max="6" width="17.3125" bestFit="1" customWidth="1"/>
    <col min="7" max="7" width="7.68359375" bestFit="1" customWidth="1"/>
    <col min="8" max="8" width="11.83984375" customWidth="1"/>
    <col min="9" max="9" width="14.26171875" customWidth="1"/>
  </cols>
  <sheetData>
    <row r="1" spans="1:9" ht="25.8" x14ac:dyDescent="0.95">
      <c r="A1" s="65" t="s">
        <v>39</v>
      </c>
      <c r="B1" s="65"/>
      <c r="C1" s="65"/>
      <c r="D1" s="65"/>
      <c r="E1" s="65"/>
      <c r="F1" s="65"/>
      <c r="G1" s="65"/>
      <c r="H1" s="65"/>
      <c r="I1" s="65"/>
    </row>
    <row r="2" spans="1:9" x14ac:dyDescent="0.55000000000000004">
      <c r="A2" s="63" t="s">
        <v>3</v>
      </c>
      <c r="B2" s="63"/>
      <c r="C2" s="63"/>
      <c r="D2" s="63"/>
      <c r="F2" s="63" t="s">
        <v>36</v>
      </c>
      <c r="G2" s="63"/>
      <c r="H2" s="63"/>
      <c r="I2" s="63"/>
    </row>
    <row r="3" spans="1:9" x14ac:dyDescent="0.55000000000000004">
      <c r="A3" t="s">
        <v>1</v>
      </c>
      <c r="B3" t="s">
        <v>2</v>
      </c>
      <c r="C3" t="s">
        <v>0</v>
      </c>
      <c r="D3" t="s">
        <v>30</v>
      </c>
      <c r="F3" s="5" t="s">
        <v>1</v>
      </c>
      <c r="G3" s="5" t="s">
        <v>2</v>
      </c>
      <c r="H3" s="5" t="s">
        <v>0</v>
      </c>
      <c r="I3" s="6" t="s">
        <v>31</v>
      </c>
    </row>
    <row r="4" spans="1:9" x14ac:dyDescent="0.55000000000000004">
      <c r="A4" t="s">
        <v>20</v>
      </c>
      <c r="B4" s="21">
        <v>5.3335300925925928E-3</v>
      </c>
      <c r="C4" s="21">
        <f>B4/6</f>
        <v>8.8892168209876547E-4</v>
      </c>
      <c r="D4">
        <f>RANK(B4,$B$4:$B$26,1)</f>
        <v>1</v>
      </c>
      <c r="F4" t="s">
        <v>17</v>
      </c>
      <c r="G4" s="21">
        <v>6.4743287037037035E-3</v>
      </c>
      <c r="H4" s="21">
        <f t="shared" ref="H4:H9" si="0">G4/6</f>
        <v>1.0790547839506172E-3</v>
      </c>
      <c r="I4">
        <f t="shared" ref="I4:I9" si="1">RANK(G4,$G$4:$G$9,1)</f>
        <v>2</v>
      </c>
    </row>
    <row r="5" spans="1:9" x14ac:dyDescent="0.55000000000000004">
      <c r="A5" t="s">
        <v>14</v>
      </c>
      <c r="B5" s="21">
        <v>5.4402777777777774E-3</v>
      </c>
      <c r="C5" s="21">
        <f t="shared" ref="C5:C26" si="2">B5/6</f>
        <v>9.067129629629629E-4</v>
      </c>
      <c r="D5">
        <f t="shared" ref="D5:D26" si="3">RANK(B5,$B$4:$B$26,1)</f>
        <v>2</v>
      </c>
      <c r="F5" t="s">
        <v>21</v>
      </c>
      <c r="G5" s="21">
        <v>7.0905671296296298E-3</v>
      </c>
      <c r="H5" s="21">
        <f t="shared" si="0"/>
        <v>1.181761188271605E-3</v>
      </c>
      <c r="I5">
        <f t="shared" si="1"/>
        <v>3</v>
      </c>
    </row>
    <row r="6" spans="1:9" x14ac:dyDescent="0.55000000000000004">
      <c r="A6" t="s">
        <v>6</v>
      </c>
      <c r="B6" s="21">
        <v>5.6628935185185185E-3</v>
      </c>
      <c r="C6" s="21">
        <f t="shared" si="2"/>
        <v>9.4381558641975312E-4</v>
      </c>
      <c r="D6">
        <f t="shared" si="3"/>
        <v>3</v>
      </c>
      <c r="F6" t="s">
        <v>78</v>
      </c>
      <c r="G6" s="21">
        <v>7.4756597222222229E-3</v>
      </c>
      <c r="H6" s="21">
        <f t="shared" si="0"/>
        <v>1.2459432870370372E-3</v>
      </c>
      <c r="I6">
        <f t="shared" si="1"/>
        <v>4</v>
      </c>
    </row>
    <row r="7" spans="1:9" x14ac:dyDescent="0.55000000000000004">
      <c r="A7" t="s">
        <v>54</v>
      </c>
      <c r="B7" s="21">
        <v>5.6870833333333322E-3</v>
      </c>
      <c r="C7" s="21">
        <f t="shared" si="2"/>
        <v>9.4784722222222199E-4</v>
      </c>
      <c r="D7">
        <f t="shared" si="3"/>
        <v>4</v>
      </c>
      <c r="F7" t="s">
        <v>24</v>
      </c>
      <c r="G7" s="21">
        <v>7.5397337962962961E-3</v>
      </c>
      <c r="H7" s="21">
        <f t="shared" si="0"/>
        <v>1.2566222993827161E-3</v>
      </c>
      <c r="I7">
        <f t="shared" si="1"/>
        <v>5</v>
      </c>
    </row>
    <row r="8" spans="1:9" x14ac:dyDescent="0.55000000000000004">
      <c r="A8" t="s">
        <v>77</v>
      </c>
      <c r="B8" s="21">
        <v>5.7582638888888892E-3</v>
      </c>
      <c r="C8" s="21">
        <f t="shared" si="2"/>
        <v>9.5971064814814823E-4</v>
      </c>
      <c r="D8">
        <f t="shared" si="3"/>
        <v>5</v>
      </c>
      <c r="F8" t="s">
        <v>8</v>
      </c>
      <c r="G8" s="21">
        <v>7.7536111111111113E-3</v>
      </c>
      <c r="H8" s="21">
        <f t="shared" si="0"/>
        <v>1.2922685185185185E-3</v>
      </c>
      <c r="I8">
        <f t="shared" si="1"/>
        <v>6</v>
      </c>
    </row>
    <row r="9" spans="1:9" x14ac:dyDescent="0.55000000000000004">
      <c r="A9" t="s">
        <v>57</v>
      </c>
      <c r="B9" s="21">
        <v>6.0934722222222223E-3</v>
      </c>
      <c r="C9" s="21">
        <f t="shared" si="2"/>
        <v>1.0155787037037037E-3</v>
      </c>
      <c r="D9">
        <f t="shared" si="3"/>
        <v>6</v>
      </c>
      <c r="F9" t="s">
        <v>54</v>
      </c>
      <c r="G9" s="21">
        <v>5.6870833333333322E-3</v>
      </c>
      <c r="H9" s="21">
        <f t="shared" si="0"/>
        <v>9.4784722222222199E-4</v>
      </c>
      <c r="I9">
        <f t="shared" si="1"/>
        <v>1</v>
      </c>
    </row>
    <row r="10" spans="1:9" x14ac:dyDescent="0.55000000000000004">
      <c r="A10" t="s">
        <v>22</v>
      </c>
      <c r="B10" s="21">
        <v>6.155011574074074E-3</v>
      </c>
      <c r="C10" s="21">
        <f t="shared" si="2"/>
        <v>1.0258352623456789E-3</v>
      </c>
      <c r="D10">
        <f t="shared" si="3"/>
        <v>7</v>
      </c>
      <c r="G10" s="21"/>
    </row>
    <row r="11" spans="1:9" x14ac:dyDescent="0.55000000000000004">
      <c r="A11" t="s">
        <v>17</v>
      </c>
      <c r="B11" s="21">
        <v>6.4743287037037035E-3</v>
      </c>
      <c r="C11" s="21">
        <f t="shared" si="2"/>
        <v>1.0790547839506172E-3</v>
      </c>
      <c r="D11">
        <f t="shared" si="3"/>
        <v>8</v>
      </c>
      <c r="G11" s="21"/>
    </row>
    <row r="12" spans="1:9" x14ac:dyDescent="0.55000000000000004">
      <c r="A12" t="s">
        <v>5</v>
      </c>
      <c r="B12" s="21">
        <v>6.5377662037037036E-3</v>
      </c>
      <c r="C12" s="21">
        <f t="shared" si="2"/>
        <v>1.0896277006172839E-3</v>
      </c>
      <c r="D12">
        <f t="shared" si="3"/>
        <v>9</v>
      </c>
      <c r="G12" s="21"/>
    </row>
    <row r="13" spans="1:9" x14ac:dyDescent="0.55000000000000004">
      <c r="A13" t="s">
        <v>7</v>
      </c>
      <c r="B13" s="21">
        <v>6.7246874999999998E-3</v>
      </c>
      <c r="C13" s="21">
        <f t="shared" si="2"/>
        <v>1.12078125E-3</v>
      </c>
      <c r="D13">
        <f t="shared" si="3"/>
        <v>10</v>
      </c>
      <c r="G13" s="21"/>
    </row>
    <row r="14" spans="1:9" x14ac:dyDescent="0.55000000000000004">
      <c r="A14" t="s">
        <v>18</v>
      </c>
      <c r="B14" s="21">
        <v>6.8383796296296291E-3</v>
      </c>
      <c r="C14" s="21">
        <f t="shared" si="2"/>
        <v>1.1397299382716049E-3</v>
      </c>
      <c r="D14">
        <f t="shared" si="3"/>
        <v>11</v>
      </c>
      <c r="G14" s="21"/>
    </row>
    <row r="15" spans="1:9" x14ac:dyDescent="0.55000000000000004">
      <c r="A15" t="s">
        <v>21</v>
      </c>
      <c r="B15" s="21">
        <v>7.0905671296296298E-3</v>
      </c>
      <c r="C15" s="21">
        <f t="shared" si="2"/>
        <v>1.181761188271605E-3</v>
      </c>
      <c r="D15">
        <f t="shared" si="3"/>
        <v>12</v>
      </c>
      <c r="G15" s="21"/>
    </row>
    <row r="16" spans="1:9" x14ac:dyDescent="0.55000000000000004">
      <c r="A16" t="s">
        <v>12</v>
      </c>
      <c r="B16" s="21">
        <v>7.2648379629629625E-3</v>
      </c>
      <c r="C16" s="21">
        <f t="shared" si="2"/>
        <v>1.2108063271604938E-3</v>
      </c>
      <c r="D16">
        <f t="shared" si="3"/>
        <v>13</v>
      </c>
      <c r="G16" s="21"/>
    </row>
    <row r="17" spans="1:9" x14ac:dyDescent="0.55000000000000004">
      <c r="A17" t="s">
        <v>11</v>
      </c>
      <c r="B17" s="21">
        <v>7.3912847222222218E-3</v>
      </c>
      <c r="C17" s="21">
        <f t="shared" si="2"/>
        <v>1.231880787037037E-3</v>
      </c>
      <c r="D17">
        <f t="shared" si="3"/>
        <v>14</v>
      </c>
      <c r="G17" s="21"/>
    </row>
    <row r="18" spans="1:9" x14ac:dyDescent="0.55000000000000004">
      <c r="A18" t="s">
        <v>78</v>
      </c>
      <c r="B18" s="21">
        <v>7.4756597222222229E-3</v>
      </c>
      <c r="C18" s="21">
        <f t="shared" si="2"/>
        <v>1.2459432870370372E-3</v>
      </c>
      <c r="D18">
        <f t="shared" si="3"/>
        <v>15</v>
      </c>
    </row>
    <row r="19" spans="1:9" x14ac:dyDescent="0.55000000000000004">
      <c r="A19" t="s">
        <v>24</v>
      </c>
      <c r="B19" s="21">
        <v>7.5397337962962961E-3</v>
      </c>
      <c r="C19" s="21">
        <f t="shared" si="2"/>
        <v>1.2566222993827161E-3</v>
      </c>
      <c r="D19">
        <f t="shared" si="3"/>
        <v>16</v>
      </c>
    </row>
    <row r="20" spans="1:9" x14ac:dyDescent="0.55000000000000004">
      <c r="A20" t="s">
        <v>56</v>
      </c>
      <c r="B20" s="21">
        <v>7.5552777777777779E-3</v>
      </c>
      <c r="C20" s="21">
        <f t="shared" si="2"/>
        <v>1.2592129629629631E-3</v>
      </c>
      <c r="D20">
        <f t="shared" si="3"/>
        <v>17</v>
      </c>
    </row>
    <row r="21" spans="1:9" x14ac:dyDescent="0.55000000000000004">
      <c r="A21" t="s">
        <v>19</v>
      </c>
      <c r="B21" s="21">
        <v>7.57162037037037E-3</v>
      </c>
      <c r="C21" s="21">
        <f t="shared" si="2"/>
        <v>1.2619367283950617E-3</v>
      </c>
      <c r="D21">
        <f t="shared" si="3"/>
        <v>18</v>
      </c>
    </row>
    <row r="22" spans="1:9" x14ac:dyDescent="0.55000000000000004">
      <c r="A22" t="s">
        <v>71</v>
      </c>
      <c r="B22" s="21">
        <v>7.6009606481481492E-3</v>
      </c>
      <c r="C22" s="21">
        <f t="shared" si="2"/>
        <v>1.2668267746913581E-3</v>
      </c>
      <c r="D22">
        <f t="shared" si="3"/>
        <v>19</v>
      </c>
    </row>
    <row r="23" spans="1:9" x14ac:dyDescent="0.55000000000000004">
      <c r="A23" t="s">
        <v>9</v>
      </c>
      <c r="B23" s="21">
        <v>7.638275462962963E-3</v>
      </c>
      <c r="C23" s="21">
        <f t="shared" si="2"/>
        <v>1.2730459104938272E-3</v>
      </c>
      <c r="D23">
        <f t="shared" si="3"/>
        <v>20</v>
      </c>
    </row>
    <row r="24" spans="1:9" x14ac:dyDescent="0.55000000000000004">
      <c r="A24" t="s">
        <v>59</v>
      </c>
      <c r="B24" s="21">
        <v>7.7314351851851858E-3</v>
      </c>
      <c r="C24" s="21">
        <f t="shared" si="2"/>
        <v>1.2885725308641976E-3</v>
      </c>
      <c r="D24">
        <f t="shared" si="3"/>
        <v>21</v>
      </c>
    </row>
    <row r="25" spans="1:9" x14ac:dyDescent="0.55000000000000004">
      <c r="A25" t="s">
        <v>58</v>
      </c>
      <c r="B25" s="21">
        <v>7.7402893518518515E-3</v>
      </c>
      <c r="C25" s="21">
        <f t="shared" si="2"/>
        <v>1.290048225308642E-3</v>
      </c>
      <c r="D25">
        <f t="shared" si="3"/>
        <v>22</v>
      </c>
    </row>
    <row r="26" spans="1:9" x14ac:dyDescent="0.55000000000000004">
      <c r="A26" t="s">
        <v>8</v>
      </c>
      <c r="B26" s="21">
        <v>7.7536111111111113E-3</v>
      </c>
      <c r="C26" s="21">
        <f t="shared" si="2"/>
        <v>1.2922685185185185E-3</v>
      </c>
      <c r="D26">
        <f t="shared" si="3"/>
        <v>23</v>
      </c>
    </row>
    <row r="28" spans="1:9" x14ac:dyDescent="0.55000000000000004">
      <c r="A28" s="63" t="s">
        <v>4</v>
      </c>
      <c r="B28" s="63"/>
      <c r="C28" s="63"/>
      <c r="D28" s="63"/>
      <c r="F28" s="63" t="s">
        <v>35</v>
      </c>
      <c r="G28" s="63"/>
      <c r="H28" s="63"/>
      <c r="I28" s="63"/>
    </row>
    <row r="29" spans="1:9" x14ac:dyDescent="0.55000000000000004">
      <c r="A29" s="1" t="s">
        <v>1</v>
      </c>
      <c r="B29" s="1" t="s">
        <v>2</v>
      </c>
      <c r="C29" s="1" t="s">
        <v>0</v>
      </c>
      <c r="D29" s="1" t="s">
        <v>30</v>
      </c>
      <c r="F29" t="s">
        <v>1</v>
      </c>
      <c r="G29" t="s">
        <v>2</v>
      </c>
      <c r="H29" t="s">
        <v>0</v>
      </c>
      <c r="I29" t="s">
        <v>31</v>
      </c>
    </row>
    <row r="30" spans="1:9" x14ac:dyDescent="0.55000000000000004">
      <c r="A30" t="s">
        <v>25</v>
      </c>
      <c r="B30" s="21">
        <v>6.0515277777777772E-3</v>
      </c>
      <c r="C30" s="21">
        <f t="shared" ref="C30:C32" si="4">B30/6</f>
        <v>1.0085879629629629E-3</v>
      </c>
      <c r="D30">
        <f t="shared" ref="D30:D32" si="5">RANK(B30,$B$30:$B$32,1)</f>
        <v>1</v>
      </c>
    </row>
    <row r="31" spans="1:9" x14ac:dyDescent="0.55000000000000004">
      <c r="A31" t="s">
        <v>28</v>
      </c>
      <c r="B31" s="21">
        <v>7.3334953703703696E-3</v>
      </c>
      <c r="C31" s="21">
        <f t="shared" si="4"/>
        <v>1.2222492283950617E-3</v>
      </c>
      <c r="D31">
        <f t="shared" si="5"/>
        <v>2</v>
      </c>
    </row>
    <row r="32" spans="1:9" x14ac:dyDescent="0.55000000000000004">
      <c r="A32" t="s">
        <v>29</v>
      </c>
      <c r="B32" s="21">
        <v>7.7479166666666668E-3</v>
      </c>
      <c r="C32" s="21">
        <f t="shared" si="4"/>
        <v>1.2913194444444445E-3</v>
      </c>
      <c r="D32">
        <f t="shared" si="5"/>
        <v>3</v>
      </c>
    </row>
    <row r="33" spans="2:3" x14ac:dyDescent="0.55000000000000004">
      <c r="B33" s="21"/>
      <c r="C33" s="21"/>
    </row>
  </sheetData>
  <mergeCells count="5">
    <mergeCell ref="A1:I1"/>
    <mergeCell ref="A2:D2"/>
    <mergeCell ref="F2:I2"/>
    <mergeCell ref="A28:D28"/>
    <mergeCell ref="F28:I28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00E5-FE10-405B-AF73-84D2FE3C3C8D}">
  <dimension ref="A1:R49"/>
  <sheetViews>
    <sheetView workbookViewId="0">
      <selection activeCell="A5" sqref="A5"/>
    </sheetView>
  </sheetViews>
  <sheetFormatPr defaultRowHeight="14.4" x14ac:dyDescent="0.55000000000000004"/>
  <cols>
    <col min="1" max="1" width="19.41796875" customWidth="1"/>
    <col min="2" max="2" width="12.5234375" customWidth="1"/>
    <col min="3" max="3" width="9.89453125" customWidth="1"/>
    <col min="4" max="4" width="9.3671875" customWidth="1"/>
    <col min="5" max="5" width="11.05078125" customWidth="1"/>
    <col min="6" max="6" width="16.3125" customWidth="1"/>
    <col min="7" max="7" width="10.7890625" customWidth="1"/>
    <col min="8" max="8" width="13.41796875" customWidth="1"/>
    <col min="9" max="9" width="10.26171875" customWidth="1"/>
    <col min="10" max="10" width="12" customWidth="1"/>
    <col min="11" max="11" width="17.26171875" customWidth="1"/>
    <col min="12" max="12" width="10.26171875" customWidth="1"/>
    <col min="13" max="13" width="10.7890625" customWidth="1"/>
    <col min="14" max="14" width="13.41796875" customWidth="1"/>
    <col min="15" max="15" width="12.89453125" customWidth="1"/>
    <col min="16" max="16" width="18.15625" customWidth="1"/>
    <col min="17" max="17" width="11.47265625" customWidth="1"/>
    <col min="18" max="18" width="16.734375" customWidth="1"/>
  </cols>
  <sheetData>
    <row r="1" spans="1:18" ht="25.8" x14ac:dyDescent="0.95">
      <c r="A1" s="14" t="s">
        <v>42</v>
      </c>
      <c r="B1" s="14"/>
      <c r="C1" s="14"/>
      <c r="D1" s="14"/>
      <c r="E1" s="14"/>
      <c r="F1" s="14"/>
      <c r="G1" s="14"/>
      <c r="H1" s="14"/>
      <c r="I1" s="14"/>
    </row>
    <row r="3" spans="1:18" x14ac:dyDescent="0.55000000000000004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8" x14ac:dyDescent="0.55000000000000004">
      <c r="B4" s="63" t="s">
        <v>79</v>
      </c>
      <c r="C4" s="63"/>
      <c r="D4" s="63"/>
      <c r="E4" s="63"/>
      <c r="F4" s="63"/>
      <c r="G4" s="67" t="s">
        <v>85</v>
      </c>
      <c r="H4" s="63"/>
      <c r="I4" s="63"/>
      <c r="J4" s="63"/>
      <c r="K4" s="63"/>
      <c r="L4" s="67" t="s">
        <v>86</v>
      </c>
      <c r="M4" s="63"/>
      <c r="N4" s="63"/>
      <c r="O4" s="63"/>
      <c r="P4" s="63"/>
      <c r="Q4" s="63" t="s">
        <v>98</v>
      </c>
      <c r="R4" s="63"/>
    </row>
    <row r="5" spans="1:18" x14ac:dyDescent="0.55000000000000004">
      <c r="A5" s="16" t="s">
        <v>1</v>
      </c>
      <c r="B5" t="s">
        <v>80</v>
      </c>
      <c r="C5" t="s">
        <v>81</v>
      </c>
      <c r="D5" t="s">
        <v>82</v>
      </c>
      <c r="E5" t="s">
        <v>83</v>
      </c>
      <c r="F5" t="s">
        <v>84</v>
      </c>
      <c r="G5" s="40" t="s">
        <v>88</v>
      </c>
      <c r="H5" t="s">
        <v>89</v>
      </c>
      <c r="I5" t="s">
        <v>90</v>
      </c>
      <c r="J5" t="s">
        <v>91</v>
      </c>
      <c r="K5" t="s">
        <v>92</v>
      </c>
      <c r="L5" s="40" t="s">
        <v>93</v>
      </c>
      <c r="M5" t="s">
        <v>94</v>
      </c>
      <c r="N5" t="s">
        <v>95</v>
      </c>
      <c r="O5" t="s">
        <v>96</v>
      </c>
      <c r="P5" t="s">
        <v>97</v>
      </c>
      <c r="Q5" s="16" t="s">
        <v>69</v>
      </c>
      <c r="R5" s="16" t="s">
        <v>53</v>
      </c>
    </row>
    <row r="6" spans="1:18" x14ac:dyDescent="0.55000000000000004">
      <c r="A6" t="s">
        <v>14</v>
      </c>
      <c r="B6" s="41">
        <v>1.9212962962962962E-3</v>
      </c>
      <c r="C6" s="24">
        <v>7.5694444444444446E-3</v>
      </c>
      <c r="D6" s="24">
        <v>5.3587962962962964E-3</v>
      </c>
      <c r="E6" s="24">
        <f t="shared" ref="E6:E14" si="0">SUM(B6:D6)</f>
        <v>1.4849537037037036E-2</v>
      </c>
      <c r="F6">
        <f t="shared" ref="F6:F14" si="1">RANK(E6,$E$6:$E$14,1)</f>
        <v>1</v>
      </c>
      <c r="G6" s="41">
        <v>7.2453703703703708E-3</v>
      </c>
      <c r="H6" s="24">
        <v>2.1990740740740742E-3</v>
      </c>
      <c r="I6" s="24">
        <v>5.4282407407407404E-3</v>
      </c>
      <c r="J6" s="24">
        <f t="shared" ref="J6:J14" si="2">SUM(G6:I6)</f>
        <v>1.4872685185185185E-2</v>
      </c>
      <c r="K6">
        <f t="shared" ref="K6:K14" si="3">RANK(J6,$J$6:$J$14,1)</f>
        <v>1</v>
      </c>
      <c r="L6" s="41">
        <v>4.9074074074074072E-3</v>
      </c>
      <c r="M6" s="24">
        <v>8.2870370370370372E-3</v>
      </c>
      <c r="N6" s="24">
        <v>2.2569444444444447E-3</v>
      </c>
      <c r="O6" s="24">
        <f>SUM(L6:N6)</f>
        <v>1.545138888888889E-2</v>
      </c>
      <c r="P6">
        <f t="shared" ref="P6:P14" si="4">RANK(O6,$O$6:$O$14,1)</f>
        <v>1</v>
      </c>
      <c r="Q6" s="42">
        <f t="shared" ref="Q6:Q14" si="5">SUM(E6,J6,O6)</f>
        <v>4.5173611111111109E-2</v>
      </c>
      <c r="R6">
        <f t="shared" ref="R6:R14" si="6">RANK(Q6,$Q$6:$Q$14,1)</f>
        <v>1</v>
      </c>
    </row>
    <row r="7" spans="1:18" x14ac:dyDescent="0.55000000000000004">
      <c r="A7" t="s">
        <v>57</v>
      </c>
      <c r="B7" s="41">
        <v>2.0486111111111113E-3</v>
      </c>
      <c r="C7" s="24">
        <v>8.113425925925925E-3</v>
      </c>
      <c r="D7" s="24">
        <v>5.6712962962962958E-3</v>
      </c>
      <c r="E7" s="24">
        <f t="shared" si="0"/>
        <v>1.5833333333333331E-2</v>
      </c>
      <c r="F7">
        <f t="shared" si="1"/>
        <v>2</v>
      </c>
      <c r="G7" s="41">
        <v>7.6620370370370366E-3</v>
      </c>
      <c r="H7" s="24">
        <v>2.2106481481481478E-3</v>
      </c>
      <c r="I7" s="24">
        <v>5.7986111111111112E-3</v>
      </c>
      <c r="J7" s="24">
        <f t="shared" si="2"/>
        <v>1.5671296296296294E-2</v>
      </c>
      <c r="K7">
        <f t="shared" si="3"/>
        <v>2</v>
      </c>
      <c r="L7" s="41">
        <v>5.4398148148148149E-3</v>
      </c>
      <c r="M7" s="24">
        <v>8.2407407407407412E-3</v>
      </c>
      <c r="N7" s="24">
        <v>2.1527777777777778E-3</v>
      </c>
      <c r="O7" s="24">
        <f t="shared" ref="O7:O14" si="7">SUM(L7:N7)</f>
        <v>1.5833333333333335E-2</v>
      </c>
      <c r="P7">
        <f t="shared" si="4"/>
        <v>2</v>
      </c>
      <c r="Q7" s="42">
        <f t="shared" si="5"/>
        <v>4.7337962962962957E-2</v>
      </c>
      <c r="R7">
        <f t="shared" si="6"/>
        <v>2</v>
      </c>
    </row>
    <row r="8" spans="1:18" x14ac:dyDescent="0.55000000000000004">
      <c r="A8" t="s">
        <v>20</v>
      </c>
      <c r="B8" s="41">
        <v>1.7708333333333332E-3</v>
      </c>
      <c r="C8" s="24">
        <v>8.1249999999999985E-3</v>
      </c>
      <c r="D8" s="24">
        <v>6.6550925925925935E-3</v>
      </c>
      <c r="E8" s="24">
        <f t="shared" si="0"/>
        <v>1.6550925925925924E-2</v>
      </c>
      <c r="F8">
        <f t="shared" si="1"/>
        <v>3</v>
      </c>
      <c r="G8" s="41">
        <v>7.2222222222222228E-3</v>
      </c>
      <c r="H8" s="24">
        <v>2.0949074074074073E-3</v>
      </c>
      <c r="I8" s="24">
        <v>6.9212962962962969E-3</v>
      </c>
      <c r="J8" s="24">
        <f t="shared" si="2"/>
        <v>1.6238425925925927E-2</v>
      </c>
      <c r="K8">
        <f t="shared" si="3"/>
        <v>3</v>
      </c>
      <c r="L8" s="41">
        <v>6.3310185185185197E-3</v>
      </c>
      <c r="M8" s="24">
        <v>8.2060185185185187E-3</v>
      </c>
      <c r="N8" s="24">
        <v>2.0486111111111113E-3</v>
      </c>
      <c r="O8" s="24">
        <f t="shared" si="7"/>
        <v>1.6585648148148151E-2</v>
      </c>
      <c r="P8">
        <f t="shared" si="4"/>
        <v>3</v>
      </c>
      <c r="Q8" s="42">
        <f t="shared" si="5"/>
        <v>4.9375000000000002E-2</v>
      </c>
      <c r="R8">
        <f t="shared" si="6"/>
        <v>3</v>
      </c>
    </row>
    <row r="9" spans="1:18" x14ac:dyDescent="0.55000000000000004">
      <c r="A9" t="s">
        <v>18</v>
      </c>
      <c r="B9" s="41">
        <v>2.2106481481481478E-3</v>
      </c>
      <c r="C9" s="24">
        <v>8.1712962962962963E-3</v>
      </c>
      <c r="D9" s="24">
        <v>6.5162037037037037E-3</v>
      </c>
      <c r="E9" s="24">
        <f t="shared" si="0"/>
        <v>1.6898148148148148E-2</v>
      </c>
      <c r="F9">
        <f t="shared" si="1"/>
        <v>4</v>
      </c>
      <c r="G9" s="41">
        <v>7.3495370370370372E-3</v>
      </c>
      <c r="H9" s="24">
        <v>2.5347222222222221E-3</v>
      </c>
      <c r="I9" s="24">
        <v>6.5162037037037037E-3</v>
      </c>
      <c r="J9" s="24">
        <f t="shared" si="2"/>
        <v>1.6400462962962964E-2</v>
      </c>
      <c r="K9">
        <f t="shared" si="3"/>
        <v>4</v>
      </c>
      <c r="L9" s="41">
        <v>5.8680555555555543E-3</v>
      </c>
      <c r="M9" s="24">
        <v>8.4027777777777781E-3</v>
      </c>
      <c r="N9" s="24">
        <v>2.4189814814814816E-3</v>
      </c>
      <c r="O9" s="24">
        <f t="shared" si="7"/>
        <v>1.6689814814814814E-2</v>
      </c>
      <c r="P9">
        <f t="shared" si="4"/>
        <v>5</v>
      </c>
      <c r="Q9" s="42">
        <f t="shared" si="5"/>
        <v>4.9988425925925922E-2</v>
      </c>
      <c r="R9">
        <f t="shared" si="6"/>
        <v>4</v>
      </c>
    </row>
    <row r="10" spans="1:18" x14ac:dyDescent="0.55000000000000004">
      <c r="A10" t="s">
        <v>9</v>
      </c>
      <c r="B10" s="41">
        <v>2.627314814814815E-3</v>
      </c>
      <c r="C10" s="24">
        <v>9.1203703703703707E-3</v>
      </c>
      <c r="D10" s="24">
        <v>5.5787037037037038E-3</v>
      </c>
      <c r="E10" s="24">
        <f t="shared" si="0"/>
        <v>1.7326388888888891E-2</v>
      </c>
      <c r="F10">
        <f t="shared" si="1"/>
        <v>5</v>
      </c>
      <c r="G10" s="41">
        <v>8.0787037037037043E-3</v>
      </c>
      <c r="H10" s="24">
        <v>2.9050925925925928E-3</v>
      </c>
      <c r="I10" s="24">
        <v>5.7291666666666671E-3</v>
      </c>
      <c r="J10" s="24">
        <f t="shared" si="2"/>
        <v>1.6712962962962964E-2</v>
      </c>
      <c r="K10">
        <f t="shared" si="3"/>
        <v>5</v>
      </c>
      <c r="L10" s="41">
        <v>4.9768518518518521E-3</v>
      </c>
      <c r="M10" s="24">
        <v>9.1319444444444443E-3</v>
      </c>
      <c r="N10" s="24">
        <v>2.5578703703703705E-3</v>
      </c>
      <c r="O10" s="24">
        <f t="shared" si="7"/>
        <v>1.6666666666666666E-2</v>
      </c>
      <c r="P10">
        <f t="shared" si="4"/>
        <v>4</v>
      </c>
      <c r="Q10" s="42">
        <f t="shared" si="5"/>
        <v>5.0706018518518525E-2</v>
      </c>
      <c r="R10">
        <f t="shared" si="6"/>
        <v>5</v>
      </c>
    </row>
    <row r="11" spans="1:18" x14ac:dyDescent="0.55000000000000004">
      <c r="A11" t="s">
        <v>58</v>
      </c>
      <c r="B11" s="41">
        <v>2.4652777777777776E-3</v>
      </c>
      <c r="C11" s="24">
        <v>8.8541666666666664E-3</v>
      </c>
      <c r="D11" s="24">
        <v>6.0879629629629643E-3</v>
      </c>
      <c r="E11" s="24">
        <f t="shared" si="0"/>
        <v>1.740740740740741E-2</v>
      </c>
      <c r="F11">
        <f t="shared" si="1"/>
        <v>6</v>
      </c>
      <c r="G11" s="41">
        <v>8.0902777777777778E-3</v>
      </c>
      <c r="H11" s="24">
        <v>2.5462962962962961E-3</v>
      </c>
      <c r="I11" s="24">
        <v>6.3888888888888884E-3</v>
      </c>
      <c r="J11" s="24">
        <f t="shared" si="2"/>
        <v>1.7025462962962964E-2</v>
      </c>
      <c r="K11">
        <f t="shared" si="3"/>
        <v>6</v>
      </c>
      <c r="L11" s="41">
        <v>5.9259259259259256E-3</v>
      </c>
      <c r="M11" s="24">
        <v>8.2870370370370372E-3</v>
      </c>
      <c r="N11" s="24">
        <v>2.7662037037037034E-3</v>
      </c>
      <c r="O11" s="24">
        <f t="shared" si="7"/>
        <v>1.6979166666666667E-2</v>
      </c>
      <c r="P11">
        <f t="shared" si="4"/>
        <v>6</v>
      </c>
      <c r="Q11" s="42">
        <f t="shared" si="5"/>
        <v>5.1412037037037048E-2</v>
      </c>
      <c r="R11">
        <f t="shared" si="6"/>
        <v>6</v>
      </c>
    </row>
    <row r="12" spans="1:18" x14ac:dyDescent="0.55000000000000004">
      <c r="A12" t="s">
        <v>17</v>
      </c>
      <c r="B12" s="41">
        <v>2.5000000000000001E-3</v>
      </c>
      <c r="C12" s="24">
        <v>8.7847222222222233E-3</v>
      </c>
      <c r="D12" s="24">
        <v>6.7939814814814816E-3</v>
      </c>
      <c r="E12" s="24">
        <f t="shared" si="0"/>
        <v>1.8078703703703704E-2</v>
      </c>
      <c r="F12">
        <f t="shared" si="1"/>
        <v>7</v>
      </c>
      <c r="G12" s="41">
        <v>8.3449074074074085E-3</v>
      </c>
      <c r="H12" s="24">
        <v>2.8124999999999995E-3</v>
      </c>
      <c r="I12" s="24">
        <v>6.9097222222222225E-3</v>
      </c>
      <c r="J12" s="24">
        <f t="shared" si="2"/>
        <v>1.8067129629629631E-2</v>
      </c>
      <c r="K12">
        <f t="shared" si="3"/>
        <v>7</v>
      </c>
      <c r="L12" s="41">
        <v>5.9143518518518521E-3</v>
      </c>
      <c r="M12" s="24">
        <v>8.9004629629629625E-3</v>
      </c>
      <c r="N12" s="24">
        <v>2.8703703703703708E-3</v>
      </c>
      <c r="O12" s="24">
        <f t="shared" si="7"/>
        <v>1.7685185185185186E-2</v>
      </c>
      <c r="P12">
        <f t="shared" si="4"/>
        <v>7</v>
      </c>
      <c r="Q12" s="42">
        <f t="shared" si="5"/>
        <v>5.3831018518518521E-2</v>
      </c>
      <c r="R12">
        <f t="shared" si="6"/>
        <v>7</v>
      </c>
    </row>
    <row r="13" spans="1:18" x14ac:dyDescent="0.55000000000000004">
      <c r="A13" t="s">
        <v>11</v>
      </c>
      <c r="B13" s="41">
        <v>2.5462962962962961E-3</v>
      </c>
      <c r="C13" s="24">
        <v>8.9814814814814809E-3</v>
      </c>
      <c r="D13" s="24">
        <v>7.951388888888888E-3</v>
      </c>
      <c r="E13" s="24">
        <f t="shared" si="0"/>
        <v>1.9479166666666665E-2</v>
      </c>
      <c r="F13">
        <f t="shared" si="1"/>
        <v>8</v>
      </c>
      <c r="G13" s="41">
        <v>8.3796296296296292E-3</v>
      </c>
      <c r="H13" s="24">
        <v>3.1481481481481482E-3</v>
      </c>
      <c r="I13" s="24">
        <v>8.1944444444444452E-3</v>
      </c>
      <c r="J13" s="24">
        <f t="shared" si="2"/>
        <v>1.9722222222222224E-2</v>
      </c>
      <c r="K13">
        <f t="shared" si="3"/>
        <v>8</v>
      </c>
      <c r="L13" s="41">
        <v>7.4421296296296293E-3</v>
      </c>
      <c r="M13" s="24">
        <v>9.525462962962963E-3</v>
      </c>
      <c r="N13" s="24">
        <v>3.0555555555555557E-3</v>
      </c>
      <c r="O13" s="24">
        <f t="shared" si="7"/>
        <v>2.0023148148148148E-2</v>
      </c>
      <c r="P13">
        <f t="shared" si="4"/>
        <v>8</v>
      </c>
      <c r="Q13" s="42">
        <f t="shared" si="5"/>
        <v>5.9224537037037034E-2</v>
      </c>
      <c r="R13">
        <f t="shared" si="6"/>
        <v>8</v>
      </c>
    </row>
    <row r="14" spans="1:18" x14ac:dyDescent="0.55000000000000004">
      <c r="A14" t="s">
        <v>24</v>
      </c>
      <c r="B14" s="41">
        <v>2.7199074074074074E-3</v>
      </c>
      <c r="C14" s="24">
        <v>1.037037037037037E-2</v>
      </c>
      <c r="D14" s="24">
        <v>7.3726851851851861E-3</v>
      </c>
      <c r="E14" s="24">
        <f t="shared" si="0"/>
        <v>2.0462962962962964E-2</v>
      </c>
      <c r="F14">
        <f t="shared" si="1"/>
        <v>9</v>
      </c>
      <c r="G14" s="41">
        <v>9.0277777777777787E-3</v>
      </c>
      <c r="H14" s="24">
        <v>2.8240740740740739E-3</v>
      </c>
      <c r="I14" s="24">
        <v>8.7499999999999991E-3</v>
      </c>
      <c r="J14" s="24">
        <f t="shared" si="2"/>
        <v>2.060185185185185E-2</v>
      </c>
      <c r="K14">
        <f t="shared" si="3"/>
        <v>9</v>
      </c>
      <c r="L14" s="41">
        <v>7.106481481481481E-3</v>
      </c>
      <c r="M14" s="24">
        <v>1.0034722222222221E-2</v>
      </c>
      <c r="N14" s="24">
        <v>3.2986111111111111E-3</v>
      </c>
      <c r="O14" s="24">
        <f t="shared" si="7"/>
        <v>2.043981481481481E-2</v>
      </c>
      <c r="P14">
        <f t="shared" si="4"/>
        <v>9</v>
      </c>
      <c r="Q14" s="42">
        <f t="shared" si="5"/>
        <v>6.1504629629629631E-2</v>
      </c>
      <c r="R14">
        <f t="shared" si="6"/>
        <v>9</v>
      </c>
    </row>
    <row r="17" spans="1:18" x14ac:dyDescent="0.55000000000000004">
      <c r="A17" s="63" t="s">
        <v>87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x14ac:dyDescent="0.55000000000000004">
      <c r="B18" s="67" t="s">
        <v>79</v>
      </c>
      <c r="C18" s="63"/>
      <c r="D18" s="63"/>
      <c r="E18" s="63"/>
      <c r="F18" s="68"/>
      <c r="G18" s="67" t="s">
        <v>85</v>
      </c>
      <c r="H18" s="63"/>
      <c r="I18" s="63"/>
      <c r="J18" s="63"/>
      <c r="K18" s="68"/>
      <c r="L18" s="67" t="s">
        <v>86</v>
      </c>
      <c r="M18" s="63"/>
      <c r="N18" s="63"/>
      <c r="O18" s="63"/>
      <c r="P18" s="68"/>
      <c r="Q18" s="67" t="s">
        <v>98</v>
      </c>
      <c r="R18" s="63"/>
    </row>
    <row r="19" spans="1:18" x14ac:dyDescent="0.55000000000000004">
      <c r="A19" s="44" t="s">
        <v>1</v>
      </c>
      <c r="B19" s="40" t="s">
        <v>80</v>
      </c>
      <c r="C19" t="s">
        <v>81</v>
      </c>
      <c r="D19" t="s">
        <v>82</v>
      </c>
      <c r="E19" t="s">
        <v>83</v>
      </c>
      <c r="F19" s="46" t="s">
        <v>84</v>
      </c>
      <c r="G19" s="40" t="s">
        <v>88</v>
      </c>
      <c r="H19" t="s">
        <v>89</v>
      </c>
      <c r="I19" t="s">
        <v>90</v>
      </c>
      <c r="J19" t="s">
        <v>91</v>
      </c>
      <c r="K19" s="46" t="s">
        <v>92</v>
      </c>
      <c r="L19" s="40" t="s">
        <v>93</v>
      </c>
      <c r="M19" t="s">
        <v>94</v>
      </c>
      <c r="N19" t="s">
        <v>95</v>
      </c>
      <c r="O19" t="s">
        <v>96</v>
      </c>
      <c r="P19" s="46" t="s">
        <v>97</v>
      </c>
      <c r="Q19" s="45" t="s">
        <v>69</v>
      </c>
      <c r="R19" s="16" t="s">
        <v>53</v>
      </c>
    </row>
    <row r="20" spans="1:18" x14ac:dyDescent="0.55000000000000004">
      <c r="A20" t="s">
        <v>17</v>
      </c>
      <c r="B20" s="41">
        <v>2.5000000000000001E-3</v>
      </c>
      <c r="C20" s="24">
        <v>8.7847222222222233E-3</v>
      </c>
      <c r="D20" s="24">
        <v>6.7939814814814816E-3</v>
      </c>
      <c r="E20" s="24">
        <f t="shared" ref="E20:E21" si="8">SUM(B20:D20)</f>
        <v>1.8078703703703704E-2</v>
      </c>
      <c r="F20" s="46">
        <f>RANK(E20,$E$20:$E$21,1)</f>
        <v>1</v>
      </c>
      <c r="G20" s="41">
        <v>8.3449074074074085E-3</v>
      </c>
      <c r="H20" s="24">
        <v>2.8124999999999995E-3</v>
      </c>
      <c r="I20" s="24">
        <v>6.9097222222222225E-3</v>
      </c>
      <c r="J20" s="24">
        <f t="shared" ref="J20:J21" si="9">SUM(G20:I20)</f>
        <v>1.8067129629629631E-2</v>
      </c>
      <c r="K20" s="46">
        <f>RANK(J20,$J$20:$J$21,1)</f>
        <v>1</v>
      </c>
      <c r="L20" s="41">
        <v>5.9143518518518521E-3</v>
      </c>
      <c r="M20" s="24">
        <v>8.9004629629629625E-3</v>
      </c>
      <c r="N20" s="24">
        <v>2.8703703703703708E-3</v>
      </c>
      <c r="O20" s="24">
        <f t="shared" ref="O20:O21" si="10">SUM(L20:N20)</f>
        <v>1.7685185185185186E-2</v>
      </c>
      <c r="P20" s="46">
        <f>RANK(O20,$O$20:$O$21,1)</f>
        <v>1</v>
      </c>
      <c r="Q20" s="42">
        <f t="shared" ref="Q20:Q21" si="11">SUM(E20,J20,O20)</f>
        <v>5.3831018518518521E-2</v>
      </c>
      <c r="R20">
        <f>RANK(Q20,$Q$20:$Q$21,1)</f>
        <v>1</v>
      </c>
    </row>
    <row r="21" spans="1:18" x14ac:dyDescent="0.55000000000000004">
      <c r="A21" t="s">
        <v>24</v>
      </c>
      <c r="B21" s="41">
        <v>2.7199074074074074E-3</v>
      </c>
      <c r="C21" s="24">
        <v>1.037037037037037E-2</v>
      </c>
      <c r="D21" s="24">
        <v>7.3726851851851861E-3</v>
      </c>
      <c r="E21" s="24">
        <f t="shared" si="8"/>
        <v>2.0462962962962964E-2</v>
      </c>
      <c r="F21" s="46">
        <f>RANK(E21,$E$20:$E$21,1)</f>
        <v>2</v>
      </c>
      <c r="G21" s="41">
        <v>9.0277777777777787E-3</v>
      </c>
      <c r="H21" s="24">
        <v>2.8240740740740739E-3</v>
      </c>
      <c r="I21" s="24">
        <v>8.7499999999999991E-3</v>
      </c>
      <c r="J21" s="24">
        <f t="shared" si="9"/>
        <v>2.060185185185185E-2</v>
      </c>
      <c r="K21" s="46">
        <f>RANK(J21,$J$20:$J$21,1)</f>
        <v>2</v>
      </c>
      <c r="L21" s="41">
        <v>7.106481481481481E-3</v>
      </c>
      <c r="M21" s="24">
        <v>1.0034722222222221E-2</v>
      </c>
      <c r="N21" s="24">
        <v>3.2986111111111111E-3</v>
      </c>
      <c r="O21" s="24">
        <f t="shared" si="10"/>
        <v>2.043981481481481E-2</v>
      </c>
      <c r="P21" s="46">
        <f>RANK(O21,$O$20:$O$21,1)</f>
        <v>2</v>
      </c>
      <c r="Q21" s="42">
        <f t="shared" si="11"/>
        <v>6.1504629629629631E-2</v>
      </c>
      <c r="R21">
        <f>RANK(Q21,$Q$20:$Q$21,1)</f>
        <v>2</v>
      </c>
    </row>
    <row r="24" spans="1:18" x14ac:dyDescent="0.55000000000000004">
      <c r="A24" s="63" t="s">
        <v>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x14ac:dyDescent="0.55000000000000004">
      <c r="B25" s="67" t="s">
        <v>79</v>
      </c>
      <c r="C25" s="63"/>
      <c r="D25" s="63"/>
      <c r="E25" s="63"/>
      <c r="F25" s="63"/>
      <c r="G25" s="67" t="s">
        <v>85</v>
      </c>
      <c r="H25" s="63"/>
      <c r="I25" s="63"/>
      <c r="J25" s="63"/>
      <c r="K25" s="63"/>
      <c r="L25" s="67" t="s">
        <v>86</v>
      </c>
      <c r="M25" s="63"/>
      <c r="N25" s="63"/>
      <c r="O25" s="63"/>
      <c r="P25" s="63"/>
      <c r="Q25" s="67" t="s">
        <v>98</v>
      </c>
      <c r="R25" s="63"/>
    </row>
    <row r="26" spans="1:18" x14ac:dyDescent="0.55000000000000004">
      <c r="A26" s="16" t="s">
        <v>1</v>
      </c>
      <c r="B26" s="40" t="s">
        <v>80</v>
      </c>
      <c r="C26" t="s">
        <v>81</v>
      </c>
      <c r="D26" t="s">
        <v>82</v>
      </c>
      <c r="E26" t="s">
        <v>83</v>
      </c>
      <c r="F26" t="s">
        <v>84</v>
      </c>
      <c r="G26" s="40" t="s">
        <v>88</v>
      </c>
      <c r="H26" t="s">
        <v>89</v>
      </c>
      <c r="I26" t="s">
        <v>90</v>
      </c>
      <c r="J26" t="s">
        <v>91</v>
      </c>
      <c r="K26" t="s">
        <v>92</v>
      </c>
      <c r="L26" s="40" t="s">
        <v>93</v>
      </c>
      <c r="M26" t="s">
        <v>94</v>
      </c>
      <c r="N26" t="s">
        <v>95</v>
      </c>
      <c r="O26" t="s">
        <v>96</v>
      </c>
      <c r="P26" t="s">
        <v>97</v>
      </c>
      <c r="Q26" s="45" t="s">
        <v>69</v>
      </c>
      <c r="R26" s="16" t="s">
        <v>53</v>
      </c>
    </row>
    <row r="27" spans="1:18" x14ac:dyDescent="0.55000000000000004">
      <c r="A27" t="s">
        <v>25</v>
      </c>
      <c r="B27" s="42">
        <v>2.3611111111111111E-3</v>
      </c>
      <c r="C27" s="39">
        <v>9.3981481481481485E-3</v>
      </c>
      <c r="D27" s="39">
        <v>7.3148148148148148E-3</v>
      </c>
      <c r="E27" s="47">
        <f>SUM(B27:D27)</f>
        <v>1.9074074074074073E-2</v>
      </c>
      <c r="F27">
        <f>RANK(E27,$E$27:$E$28,1)</f>
        <v>1</v>
      </c>
      <c r="G27" s="42">
        <v>8.5763888888888886E-3</v>
      </c>
      <c r="H27" s="39">
        <v>2.8240740740740739E-3</v>
      </c>
      <c r="I27" s="39">
        <v>7.3611111111111108E-3</v>
      </c>
      <c r="J27" s="47">
        <f>SUM(G27:I27)</f>
        <v>1.8761574074074073E-2</v>
      </c>
      <c r="K27">
        <f>RANK(J27,$J$27:$J$28,1)</f>
        <v>1</v>
      </c>
      <c r="L27" s="42">
        <v>6.8634259259259256E-3</v>
      </c>
      <c r="M27" s="39">
        <v>8.9236111111111113E-3</v>
      </c>
      <c r="N27" s="39">
        <v>2.3842592592592591E-3</v>
      </c>
      <c r="O27" s="47">
        <f>SUM(L27:N27)</f>
        <v>1.8171296296296297E-2</v>
      </c>
      <c r="P27">
        <f>RANK(O27,$O$27:$O$28,1)</f>
        <v>1</v>
      </c>
      <c r="Q27" s="43">
        <f>SUM(E27,J27,O27)</f>
        <v>5.6006944444444443E-2</v>
      </c>
      <c r="R27">
        <f>RANK(Q27,$Q$27:$Q$28,1)</f>
        <v>1</v>
      </c>
    </row>
    <row r="28" spans="1:18" x14ac:dyDescent="0.55000000000000004">
      <c r="A28" t="s">
        <v>62</v>
      </c>
      <c r="B28" s="42">
        <v>2.7893518518518519E-3</v>
      </c>
      <c r="C28" s="39">
        <v>9.6064814814814815E-3</v>
      </c>
      <c r="D28" s="39">
        <v>8.3217592592592596E-3</v>
      </c>
      <c r="E28" s="47">
        <f>SUM(B28:D28)</f>
        <v>2.0717592592592593E-2</v>
      </c>
      <c r="F28">
        <f>RANK(E28,$E$27:$E$28,1)</f>
        <v>2</v>
      </c>
      <c r="G28" s="42">
        <v>8.3680555555555557E-3</v>
      </c>
      <c r="H28" s="39">
        <v>3.483796296296296E-3</v>
      </c>
      <c r="I28" s="39">
        <v>8.7152777777777784E-3</v>
      </c>
      <c r="J28" s="47">
        <f>SUM(G28:I28)</f>
        <v>2.056712962962963E-2</v>
      </c>
      <c r="K28">
        <f>RANK(J28,$J$27:$J$28,1)</f>
        <v>2</v>
      </c>
      <c r="L28" s="42">
        <v>6.8634259259259256E-3</v>
      </c>
      <c r="M28" s="39">
        <v>8.9236111111111113E-3</v>
      </c>
      <c r="N28" s="39">
        <v>2.3842592592592591E-3</v>
      </c>
      <c r="O28" s="47">
        <f>SUM(L28:N28)</f>
        <v>1.8171296296296297E-2</v>
      </c>
      <c r="P28">
        <f>RANK(O28,$O$27:$O$28,1)</f>
        <v>1</v>
      </c>
      <c r="Q28" s="43">
        <f>SUM(E28,J28,O28)</f>
        <v>5.9456018518518519E-2</v>
      </c>
      <c r="R28">
        <f>RANK(Q28,$Q$27:$Q$28,1)</f>
        <v>2</v>
      </c>
    </row>
    <row r="39" spans="7:10" x14ac:dyDescent="0.55000000000000004">
      <c r="G39" s="39"/>
      <c r="H39" s="39"/>
      <c r="I39" s="39"/>
      <c r="J39" s="39"/>
    </row>
    <row r="40" spans="7:10" x14ac:dyDescent="0.55000000000000004">
      <c r="G40" s="39"/>
      <c r="H40" s="39"/>
      <c r="I40" s="39"/>
      <c r="J40" s="39"/>
    </row>
    <row r="41" spans="7:10" x14ac:dyDescent="0.55000000000000004">
      <c r="G41" s="39"/>
      <c r="H41" s="39"/>
      <c r="I41" s="39"/>
      <c r="J41" s="39"/>
    </row>
    <row r="42" spans="7:10" x14ac:dyDescent="0.55000000000000004">
      <c r="G42" s="39"/>
      <c r="H42" s="39"/>
      <c r="I42" s="39"/>
      <c r="J42" s="39"/>
    </row>
    <row r="43" spans="7:10" x14ac:dyDescent="0.55000000000000004">
      <c r="G43" s="39"/>
      <c r="H43" s="39"/>
      <c r="I43" s="39"/>
      <c r="J43" s="39"/>
    </row>
    <row r="44" spans="7:10" x14ac:dyDescent="0.55000000000000004">
      <c r="G44" s="39"/>
      <c r="H44" s="39"/>
      <c r="I44" s="39"/>
      <c r="J44" s="39"/>
    </row>
    <row r="45" spans="7:10" x14ac:dyDescent="0.55000000000000004">
      <c r="G45" s="39"/>
      <c r="H45" s="39"/>
      <c r="I45" s="39"/>
      <c r="J45" s="39"/>
    </row>
    <row r="46" spans="7:10" x14ac:dyDescent="0.55000000000000004">
      <c r="G46" s="39"/>
      <c r="H46" s="39"/>
      <c r="I46" s="39"/>
      <c r="J46" s="39"/>
    </row>
    <row r="47" spans="7:10" x14ac:dyDescent="0.55000000000000004">
      <c r="G47" s="39"/>
      <c r="H47" s="39"/>
      <c r="I47" s="39"/>
      <c r="J47" s="39"/>
    </row>
    <row r="48" spans="7:10" x14ac:dyDescent="0.55000000000000004">
      <c r="G48" s="39"/>
      <c r="H48" s="39"/>
      <c r="I48" s="39"/>
      <c r="J48" s="39"/>
    </row>
    <row r="49" spans="7:10" x14ac:dyDescent="0.55000000000000004">
      <c r="G49" s="39"/>
      <c r="H49" s="39"/>
      <c r="I49" s="39"/>
      <c r="J49" s="39"/>
    </row>
  </sheetData>
  <mergeCells count="15">
    <mergeCell ref="A3:P3"/>
    <mergeCell ref="A24:R24"/>
    <mergeCell ref="Q4:R4"/>
    <mergeCell ref="Q25:R25"/>
    <mergeCell ref="Q18:R18"/>
    <mergeCell ref="B25:F25"/>
    <mergeCell ref="G25:K25"/>
    <mergeCell ref="L25:P25"/>
    <mergeCell ref="A17:R17"/>
    <mergeCell ref="B18:F18"/>
    <mergeCell ref="G18:K18"/>
    <mergeCell ref="L18:P18"/>
    <mergeCell ref="B4:F4"/>
    <mergeCell ref="G4:K4"/>
    <mergeCell ref="L4:P4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355F-2F55-438F-84F9-03B4497037F0}">
  <dimension ref="A1:O16"/>
  <sheetViews>
    <sheetView workbookViewId="0">
      <selection activeCell="J12" sqref="J12"/>
    </sheetView>
  </sheetViews>
  <sheetFormatPr defaultRowHeight="14.4" x14ac:dyDescent="0.55000000000000004"/>
  <cols>
    <col min="1" max="1" width="18.3671875" bestFit="1" customWidth="1"/>
    <col min="2" max="3" width="10.9453125" customWidth="1"/>
    <col min="4" max="4" width="11.41796875" bestFit="1" customWidth="1"/>
    <col min="5" max="6" width="10.9453125" customWidth="1"/>
    <col min="9" max="9" width="18.3671875" bestFit="1" customWidth="1"/>
    <col min="10" max="14" width="10.9453125" customWidth="1"/>
    <col min="15" max="15" width="14.3671875" customWidth="1"/>
  </cols>
  <sheetData>
    <row r="1" spans="1:15" ht="25.8" x14ac:dyDescent="0.95">
      <c r="A1" s="65" t="s">
        <v>106</v>
      </c>
      <c r="B1" s="65"/>
      <c r="C1" s="65"/>
      <c r="D1" s="65"/>
      <c r="E1" s="65"/>
      <c r="F1" s="65"/>
      <c r="G1" s="65"/>
      <c r="H1" s="65"/>
      <c r="I1" s="65"/>
    </row>
    <row r="2" spans="1:15" x14ac:dyDescent="0.55000000000000004">
      <c r="A2" s="63" t="s">
        <v>3</v>
      </c>
      <c r="B2" s="63"/>
      <c r="C2" s="63"/>
      <c r="D2" s="63"/>
      <c r="E2" s="63"/>
      <c r="F2" s="63"/>
      <c r="G2" s="63"/>
      <c r="I2" s="63" t="s">
        <v>43</v>
      </c>
      <c r="J2" s="63"/>
      <c r="K2" s="63"/>
      <c r="L2" s="63"/>
      <c r="M2" s="63"/>
      <c r="N2" s="63"/>
      <c r="O2" s="63"/>
    </row>
    <row r="3" spans="1:15" ht="14.7" thickBot="1" x14ac:dyDescent="0.6">
      <c r="A3" s="9" t="s">
        <v>1</v>
      </c>
      <c r="B3" s="10" t="s">
        <v>99</v>
      </c>
      <c r="C3" s="10" t="s">
        <v>100</v>
      </c>
      <c r="D3" s="11" t="s">
        <v>101</v>
      </c>
      <c r="E3" s="5" t="s">
        <v>102</v>
      </c>
      <c r="F3" s="9" t="s">
        <v>103</v>
      </c>
      <c r="G3" s="11" t="s">
        <v>104</v>
      </c>
      <c r="H3" s="50"/>
      <c r="I3" s="9" t="s">
        <v>1</v>
      </c>
      <c r="J3" s="10" t="s">
        <v>99</v>
      </c>
      <c r="K3" s="10" t="s">
        <v>100</v>
      </c>
      <c r="L3" s="11" t="s">
        <v>101</v>
      </c>
      <c r="M3" s="5" t="s">
        <v>102</v>
      </c>
      <c r="N3" s="9" t="s">
        <v>103</v>
      </c>
      <c r="O3" s="11" t="s">
        <v>31</v>
      </c>
    </row>
    <row r="4" spans="1:15" ht="14.7" thickTop="1" x14ac:dyDescent="0.55000000000000004">
      <c r="A4" t="s">
        <v>18</v>
      </c>
      <c r="B4" s="48">
        <v>1.038925925925926E-2</v>
      </c>
      <c r="C4" s="48">
        <v>1.0548703703703704E-2</v>
      </c>
      <c r="D4" s="48">
        <v>1.0691666666666667E-2</v>
      </c>
      <c r="E4" s="48">
        <v>1.0611388888888891E-2</v>
      </c>
      <c r="F4" s="34">
        <f>SUM(B4:E4)</f>
        <v>4.2241018518518525E-2</v>
      </c>
      <c r="G4">
        <f>RANK(F4,$F$4:$F$10,1)</f>
        <v>1</v>
      </c>
      <c r="I4" s="13" t="s">
        <v>105</v>
      </c>
      <c r="J4" s="51">
        <v>1.1730405092592593E-2</v>
      </c>
      <c r="K4" s="51">
        <v>1.1937094907407407E-2</v>
      </c>
      <c r="L4" s="51">
        <v>1.2200138888888891E-2</v>
      </c>
      <c r="M4" s="51">
        <v>1.2215243055555556E-2</v>
      </c>
      <c r="N4" s="52">
        <f t="shared" ref="N4" si="0">SUM(J4:M4)</f>
        <v>4.8082881944444447E-2</v>
      </c>
      <c r="O4" s="53">
        <f>RANK(N4,$N$4:$N$10,1)</f>
        <v>2</v>
      </c>
    </row>
    <row r="5" spans="1:15" x14ac:dyDescent="0.55000000000000004">
      <c r="A5" t="s">
        <v>54</v>
      </c>
      <c r="B5" s="48">
        <v>1.1103067129629629E-2</v>
      </c>
      <c r="C5" s="48">
        <v>1.0555439814814814E-2</v>
      </c>
      <c r="D5" s="48">
        <v>1.0690625E-2</v>
      </c>
      <c r="E5" s="48">
        <v>1.0760046296296295E-2</v>
      </c>
      <c r="F5" s="34">
        <f t="shared" ref="F5:F10" si="1">SUM(B5:E5)</f>
        <v>4.3109178240740738E-2</v>
      </c>
      <c r="G5">
        <f t="shared" ref="G5:G10" si="2">RANK(F5,$F$4:$F$10,1)</f>
        <v>2</v>
      </c>
      <c r="I5" t="s">
        <v>21</v>
      </c>
      <c r="J5" s="48">
        <v>1.1959629629629631E-2</v>
      </c>
      <c r="K5" s="48">
        <v>1.202519675925926E-2</v>
      </c>
      <c r="L5" s="48">
        <v>1.2157453703703703E-2</v>
      </c>
      <c r="M5" s="48">
        <v>1.2015532407407409E-2</v>
      </c>
      <c r="N5" s="34">
        <f>SUM(J5:M5)</f>
        <v>4.8157812500000001E-2</v>
      </c>
      <c r="O5" s="53">
        <f t="shared" ref="O5:O7" si="3">RANK(N5,$N$4:$N$10,1)</f>
        <v>3</v>
      </c>
    </row>
    <row r="6" spans="1:15" x14ac:dyDescent="0.55000000000000004">
      <c r="A6" t="s">
        <v>11</v>
      </c>
      <c r="B6" s="48">
        <v>1.1907974537037036E-2</v>
      </c>
      <c r="C6" s="48">
        <v>1.1899351851851854E-2</v>
      </c>
      <c r="D6" s="48">
        <v>1.2035532407407408E-2</v>
      </c>
      <c r="E6" s="48">
        <v>1.1641631944444446E-2</v>
      </c>
      <c r="F6" s="34">
        <f t="shared" si="1"/>
        <v>4.7484490740740744E-2</v>
      </c>
      <c r="G6">
        <f t="shared" si="2"/>
        <v>3</v>
      </c>
      <c r="I6" t="s">
        <v>17</v>
      </c>
      <c r="J6" s="48">
        <v>1.2750636574074076E-2</v>
      </c>
      <c r="K6" s="48">
        <v>1.2749768518518516E-2</v>
      </c>
      <c r="L6" s="48">
        <v>1.2903437500000002E-2</v>
      </c>
      <c r="M6" s="48">
        <v>1.2858472222222223E-2</v>
      </c>
      <c r="N6" s="34">
        <f t="shared" ref="N6:N8" si="4">SUM(J6:M6)</f>
        <v>5.1262314814814816E-2</v>
      </c>
      <c r="O6" s="53">
        <f t="shared" si="3"/>
        <v>4</v>
      </c>
    </row>
    <row r="7" spans="1:15" x14ac:dyDescent="0.55000000000000004">
      <c r="A7" t="s">
        <v>105</v>
      </c>
      <c r="B7" s="48">
        <v>1.1730405092592593E-2</v>
      </c>
      <c r="C7" s="48">
        <v>1.1937094907407407E-2</v>
      </c>
      <c r="D7" s="48">
        <v>1.2200138888888891E-2</v>
      </c>
      <c r="E7" s="48">
        <v>1.2215243055555556E-2</v>
      </c>
      <c r="F7" s="34">
        <f t="shared" si="1"/>
        <v>4.8082881944444447E-2</v>
      </c>
      <c r="G7">
        <f t="shared" si="2"/>
        <v>4</v>
      </c>
      <c r="I7" t="s">
        <v>24</v>
      </c>
      <c r="J7" s="48">
        <v>1.3845219907407407E-2</v>
      </c>
      <c r="K7" s="48">
        <v>1.4148078703703703E-2</v>
      </c>
      <c r="L7" s="48">
        <v>1.4094560185185186E-2</v>
      </c>
      <c r="M7" s="48">
        <v>1.3923310185185186E-2</v>
      </c>
      <c r="N7" s="34">
        <f t="shared" si="4"/>
        <v>5.6011168981481486E-2</v>
      </c>
      <c r="O7" s="53">
        <f t="shared" si="3"/>
        <v>5</v>
      </c>
    </row>
    <row r="8" spans="1:15" x14ac:dyDescent="0.55000000000000004">
      <c r="A8" t="s">
        <v>21</v>
      </c>
      <c r="B8" s="48">
        <v>1.1959629629629631E-2</v>
      </c>
      <c r="C8" s="48">
        <v>1.202519675925926E-2</v>
      </c>
      <c r="D8" s="48">
        <v>1.2157453703703703E-2</v>
      </c>
      <c r="E8" s="48">
        <v>1.2015532407407409E-2</v>
      </c>
      <c r="F8" s="34">
        <f t="shared" si="1"/>
        <v>4.8157812500000001E-2</v>
      </c>
      <c r="G8">
        <f t="shared" si="2"/>
        <v>5</v>
      </c>
      <c r="I8" t="s">
        <v>54</v>
      </c>
      <c r="J8" s="48">
        <v>1.1103067129629629E-2</v>
      </c>
      <c r="K8" s="48">
        <v>1.0555439814814814E-2</v>
      </c>
      <c r="L8" s="48">
        <v>1.0690625E-2</v>
      </c>
      <c r="M8" s="48">
        <v>1.0760046296296295E-2</v>
      </c>
      <c r="N8" s="34">
        <f t="shared" si="4"/>
        <v>4.3109178240740738E-2</v>
      </c>
      <c r="O8" s="57">
        <f>RANK(N8,$N$4:$N$10,1)</f>
        <v>1</v>
      </c>
    </row>
    <row r="9" spans="1:15" x14ac:dyDescent="0.55000000000000004">
      <c r="A9" t="s">
        <v>17</v>
      </c>
      <c r="B9" s="48">
        <v>1.2750636574074076E-2</v>
      </c>
      <c r="C9" s="48">
        <v>1.2749768518518516E-2</v>
      </c>
      <c r="D9" s="48">
        <v>1.2903437500000002E-2</v>
      </c>
      <c r="E9" s="48">
        <v>1.2858472222222223E-2</v>
      </c>
      <c r="F9" s="34">
        <f t="shared" si="1"/>
        <v>5.1262314814814816E-2</v>
      </c>
      <c r="G9">
        <f t="shared" si="2"/>
        <v>6</v>
      </c>
    </row>
    <row r="10" spans="1:15" x14ac:dyDescent="0.55000000000000004">
      <c r="A10" t="s">
        <v>24</v>
      </c>
      <c r="B10" s="48">
        <v>1.3845219907407407E-2</v>
      </c>
      <c r="C10" s="48">
        <v>1.4148078703703703E-2</v>
      </c>
      <c r="D10" s="48">
        <v>1.4094560185185186E-2</v>
      </c>
      <c r="E10" s="48">
        <v>1.3923310185185186E-2</v>
      </c>
      <c r="F10" s="34">
        <f t="shared" si="1"/>
        <v>5.6011168981481486E-2</v>
      </c>
      <c r="G10">
        <f t="shared" si="2"/>
        <v>7</v>
      </c>
    </row>
    <row r="15" spans="1:15" x14ac:dyDescent="0.55000000000000004">
      <c r="A15" s="63" t="s">
        <v>4</v>
      </c>
      <c r="B15" s="63"/>
      <c r="C15" s="63"/>
      <c r="D15" s="63"/>
      <c r="F15" s="63" t="s">
        <v>35</v>
      </c>
      <c r="G15" s="63"/>
      <c r="H15" s="63"/>
      <c r="I15" s="63"/>
    </row>
    <row r="16" spans="1:15" x14ac:dyDescent="0.55000000000000004">
      <c r="A16" t="s">
        <v>1</v>
      </c>
      <c r="B16" t="s">
        <v>2</v>
      </c>
      <c r="C16" t="s">
        <v>37</v>
      </c>
      <c r="D16" t="s">
        <v>30</v>
      </c>
      <c r="F16" t="s">
        <v>1</v>
      </c>
      <c r="G16" t="s">
        <v>2</v>
      </c>
      <c r="H16" t="s">
        <v>37</v>
      </c>
      <c r="I16" t="s">
        <v>31</v>
      </c>
    </row>
  </sheetData>
  <mergeCells count="5">
    <mergeCell ref="I2:O2"/>
    <mergeCell ref="A2:G2"/>
    <mergeCell ref="A1:I1"/>
    <mergeCell ref="A15:D15"/>
    <mergeCell ref="F15:I15"/>
  </mergeCell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DE40-00B6-47E5-82FE-31C77E60E80A}">
  <dimension ref="A1:W32"/>
  <sheetViews>
    <sheetView workbookViewId="0">
      <selection activeCell="F4" sqref="F4"/>
    </sheetView>
  </sheetViews>
  <sheetFormatPr defaultRowHeight="14.4" x14ac:dyDescent="0.55000000000000004"/>
  <cols>
    <col min="1" max="1" width="25.05078125" bestFit="1" customWidth="1"/>
    <col min="2" max="2" width="12.89453125" customWidth="1"/>
    <col min="4" max="4" width="9.734375" customWidth="1"/>
    <col min="5" max="5" width="11.47265625" customWidth="1"/>
    <col min="8" max="8" width="18.20703125" bestFit="1" customWidth="1"/>
    <col min="9" max="9" width="12.89453125" customWidth="1"/>
    <col min="11" max="11" width="9.734375" customWidth="1"/>
    <col min="12" max="12" width="11.47265625" customWidth="1"/>
    <col min="19" max="19" width="8.83984375" customWidth="1"/>
  </cols>
  <sheetData>
    <row r="1" spans="1:13" ht="25.8" x14ac:dyDescent="0.95">
      <c r="A1" s="65" t="s">
        <v>112</v>
      </c>
      <c r="B1" s="65"/>
      <c r="C1" s="65"/>
      <c r="D1" s="65"/>
      <c r="E1" s="65"/>
      <c r="F1" s="65"/>
      <c r="G1" s="65"/>
      <c r="H1" s="65"/>
      <c r="I1" s="65"/>
    </row>
    <row r="2" spans="1:13" x14ac:dyDescent="0.55000000000000004">
      <c r="A2" s="63" t="s">
        <v>3</v>
      </c>
      <c r="B2" s="63"/>
      <c r="C2" s="63"/>
      <c r="D2" s="63"/>
      <c r="E2" s="63"/>
      <c r="F2" s="63"/>
      <c r="H2" s="63" t="s">
        <v>36</v>
      </c>
      <c r="I2" s="63"/>
      <c r="J2" s="63"/>
      <c r="K2" s="63"/>
      <c r="L2" s="63"/>
      <c r="M2" s="63"/>
    </row>
    <row r="3" spans="1:13" ht="14.7" thickBot="1" x14ac:dyDescent="0.6">
      <c r="A3" s="9" t="s">
        <v>1</v>
      </c>
      <c r="B3" s="10" t="s">
        <v>107</v>
      </c>
      <c r="C3" s="10" t="s">
        <v>109</v>
      </c>
      <c r="D3" s="11" t="s">
        <v>108</v>
      </c>
      <c r="E3" s="5" t="s">
        <v>69</v>
      </c>
      <c r="F3" s="9" t="s">
        <v>104</v>
      </c>
      <c r="G3" s="49"/>
      <c r="H3" s="9" t="s">
        <v>1</v>
      </c>
      <c r="I3" s="10" t="s">
        <v>107</v>
      </c>
      <c r="J3" s="10" t="s">
        <v>109</v>
      </c>
      <c r="K3" s="11" t="s">
        <v>108</v>
      </c>
      <c r="L3" s="5" t="s">
        <v>69</v>
      </c>
      <c r="M3" s="9" t="s">
        <v>104</v>
      </c>
    </row>
    <row r="4" spans="1:13" ht="14.7" thickTop="1" x14ac:dyDescent="0.55000000000000004">
      <c r="A4" t="s">
        <v>14</v>
      </c>
      <c r="B4" s="21">
        <v>3.6570370370370368E-3</v>
      </c>
      <c r="C4" s="21">
        <v>6.3859953703703702E-4</v>
      </c>
      <c r="D4" s="21">
        <v>7.5322800925925922E-3</v>
      </c>
      <c r="E4" s="21">
        <f>SUM(B4:D4)</f>
        <v>1.1827916666666667E-2</v>
      </c>
      <c r="F4">
        <f>RANK(E4,$E$4:$E$12,1)</f>
        <v>1</v>
      </c>
      <c r="H4" t="s">
        <v>54</v>
      </c>
      <c r="I4" s="21">
        <v>3.7112847222222222E-3</v>
      </c>
      <c r="J4" s="21">
        <v>4.3160879629629625E-4</v>
      </c>
      <c r="K4" s="21">
        <v>8.9749999999999986E-3</v>
      </c>
      <c r="L4" s="21">
        <f t="shared" ref="L4:L6" si="0">SUM(I4:K4)</f>
        <v>1.3117893518518517E-2</v>
      </c>
      <c r="M4">
        <f>RANK(L4,$L$4:$L$6,1)</f>
        <v>1</v>
      </c>
    </row>
    <row r="5" spans="1:13" x14ac:dyDescent="0.55000000000000004">
      <c r="A5" t="s">
        <v>111</v>
      </c>
      <c r="B5" s="21">
        <v>3.6963425925925931E-3</v>
      </c>
      <c r="C5" s="21">
        <v>7.5696759259259261E-4</v>
      </c>
      <c r="D5" s="21">
        <v>7.4377083333333335E-3</v>
      </c>
      <c r="E5" s="21">
        <f t="shared" ref="E5:E12" si="1">SUM(B5:D5)</f>
        <v>1.189101851851852E-2</v>
      </c>
      <c r="F5">
        <f t="shared" ref="F5:F12" si="2">RANK(E5,$E$4:$E$12,1)</f>
        <v>2</v>
      </c>
      <c r="H5" t="s">
        <v>17</v>
      </c>
      <c r="I5" s="21">
        <v>4.1072916666666671E-3</v>
      </c>
      <c r="J5" s="21">
        <v>9.5283564814814807E-4</v>
      </c>
      <c r="K5" s="21">
        <v>9.2603124999999994E-3</v>
      </c>
      <c r="L5" s="21">
        <f t="shared" si="0"/>
        <v>1.4320439814814814E-2</v>
      </c>
      <c r="M5">
        <f t="shared" ref="M5:M6" si="3">RANK(L5,$L$4:$L$6,1)</f>
        <v>2</v>
      </c>
    </row>
    <row r="6" spans="1:13" x14ac:dyDescent="0.55000000000000004">
      <c r="A6" t="s">
        <v>54</v>
      </c>
      <c r="B6" s="21">
        <v>3.7112847222222222E-3</v>
      </c>
      <c r="C6" s="21">
        <v>4.3160879629629625E-4</v>
      </c>
      <c r="D6" s="21">
        <v>8.9749999999999986E-3</v>
      </c>
      <c r="E6" s="21">
        <f t="shared" si="1"/>
        <v>1.3117893518518517E-2</v>
      </c>
      <c r="F6">
        <f t="shared" si="2"/>
        <v>3</v>
      </c>
      <c r="H6" t="s">
        <v>24</v>
      </c>
      <c r="I6" s="21">
        <v>4.7389930555555553E-3</v>
      </c>
      <c r="J6" s="21">
        <v>1.2482523148148147E-3</v>
      </c>
      <c r="K6" s="21">
        <v>1.0355034722222224E-2</v>
      </c>
      <c r="L6" s="21">
        <f t="shared" si="0"/>
        <v>1.6342280092592594E-2</v>
      </c>
      <c r="M6">
        <f t="shared" si="3"/>
        <v>3</v>
      </c>
    </row>
    <row r="7" spans="1:13" x14ac:dyDescent="0.55000000000000004">
      <c r="A7" t="s">
        <v>12</v>
      </c>
      <c r="B7" s="48">
        <v>4.253194444444444E-3</v>
      </c>
      <c r="C7" s="21">
        <v>7.4652777777777781E-4</v>
      </c>
      <c r="D7" s="21">
        <v>9.0789351851851847E-3</v>
      </c>
      <c r="E7" s="21">
        <f t="shared" si="1"/>
        <v>1.4078657407407406E-2</v>
      </c>
      <c r="F7">
        <f t="shared" si="2"/>
        <v>4</v>
      </c>
    </row>
    <row r="8" spans="1:13" x14ac:dyDescent="0.55000000000000004">
      <c r="A8" t="s">
        <v>58</v>
      </c>
      <c r="B8" s="21">
        <v>5.3063657407407408E-3</v>
      </c>
      <c r="C8" s="21"/>
      <c r="D8" s="21">
        <v>8.8784027777777785E-3</v>
      </c>
      <c r="E8" s="21">
        <f t="shared" si="1"/>
        <v>1.418476851851852E-2</v>
      </c>
      <c r="F8">
        <f t="shared" si="2"/>
        <v>5</v>
      </c>
    </row>
    <row r="9" spans="1:13" x14ac:dyDescent="0.55000000000000004">
      <c r="A9" t="s">
        <v>17</v>
      </c>
      <c r="B9" s="21">
        <v>4.1072916666666671E-3</v>
      </c>
      <c r="C9" s="21">
        <v>9.5283564814814807E-4</v>
      </c>
      <c r="D9" s="21">
        <v>9.2603124999999994E-3</v>
      </c>
      <c r="E9" s="21">
        <f t="shared" si="1"/>
        <v>1.4320439814814814E-2</v>
      </c>
      <c r="F9">
        <f t="shared" si="2"/>
        <v>6</v>
      </c>
    </row>
    <row r="10" spans="1:13" x14ac:dyDescent="0.55000000000000004">
      <c r="A10" t="s">
        <v>20</v>
      </c>
      <c r="B10" s="21">
        <v>3.254027777777778E-3</v>
      </c>
      <c r="C10" s="21">
        <v>7.0039351851851849E-4</v>
      </c>
      <c r="D10" s="21">
        <v>1.137886574074074E-2</v>
      </c>
      <c r="E10" s="21">
        <f t="shared" si="1"/>
        <v>1.5333287037037036E-2</v>
      </c>
      <c r="F10">
        <f t="shared" si="2"/>
        <v>7</v>
      </c>
    </row>
    <row r="11" spans="1:13" x14ac:dyDescent="0.55000000000000004">
      <c r="A11" t="s">
        <v>110</v>
      </c>
      <c r="B11" s="48">
        <v>5.8488425925925921E-3</v>
      </c>
      <c r="C11" s="21">
        <v>1.1064814814814815E-3</v>
      </c>
      <c r="D11" s="21">
        <v>9.2704861111111113E-3</v>
      </c>
      <c r="E11" s="21">
        <f t="shared" si="1"/>
        <v>1.6225810185185187E-2</v>
      </c>
      <c r="F11">
        <f t="shared" si="2"/>
        <v>8</v>
      </c>
    </row>
    <row r="12" spans="1:13" x14ac:dyDescent="0.55000000000000004">
      <c r="A12" t="s">
        <v>24</v>
      </c>
      <c r="B12" s="21">
        <v>4.7389930555555553E-3</v>
      </c>
      <c r="C12" s="21">
        <v>1.2482523148148147E-3</v>
      </c>
      <c r="D12" s="21">
        <v>1.0355034722222224E-2</v>
      </c>
      <c r="E12" s="21">
        <f t="shared" si="1"/>
        <v>1.6342280092592594E-2</v>
      </c>
      <c r="F12">
        <f t="shared" si="2"/>
        <v>9</v>
      </c>
    </row>
    <row r="15" spans="1:13" x14ac:dyDescent="0.55000000000000004">
      <c r="A15" s="63" t="s">
        <v>4</v>
      </c>
      <c r="B15" s="63"/>
      <c r="C15" s="63"/>
      <c r="D15" s="63"/>
      <c r="E15" s="63"/>
      <c r="F15" s="63"/>
      <c r="H15" s="63" t="s">
        <v>35</v>
      </c>
      <c r="I15" s="63"/>
      <c r="J15" s="63"/>
      <c r="K15" s="63"/>
      <c r="L15" s="63"/>
      <c r="M15" s="63"/>
    </row>
    <row r="16" spans="1:13" ht="14.7" thickBot="1" x14ac:dyDescent="0.6">
      <c r="A16" s="54" t="s">
        <v>1</v>
      </c>
      <c r="B16" s="25" t="s">
        <v>107</v>
      </c>
      <c r="C16" s="25" t="s">
        <v>109</v>
      </c>
      <c r="D16" s="55" t="s">
        <v>108</v>
      </c>
      <c r="E16" s="56" t="s">
        <v>69</v>
      </c>
      <c r="F16" s="54" t="s">
        <v>104</v>
      </c>
      <c r="H16" s="54" t="s">
        <v>1</v>
      </c>
      <c r="I16" s="25" t="s">
        <v>107</v>
      </c>
      <c r="J16" s="25" t="s">
        <v>109</v>
      </c>
      <c r="K16" s="55" t="s">
        <v>108</v>
      </c>
      <c r="L16" s="56" t="s">
        <v>69</v>
      </c>
      <c r="M16" s="54" t="s">
        <v>104</v>
      </c>
    </row>
    <row r="17" spans="1:23" ht="14.7" thickTop="1" x14ac:dyDescent="0.55000000000000004">
      <c r="A17" t="s">
        <v>25</v>
      </c>
      <c r="B17" s="21">
        <v>4.1919560185185185E-3</v>
      </c>
      <c r="C17" s="21">
        <v>7.2708333333333338E-4</v>
      </c>
      <c r="D17" s="21">
        <v>1.0444305555555556E-2</v>
      </c>
      <c r="E17" s="21">
        <f>SUM(B17:D17)</f>
        <v>1.5363344907407407E-2</v>
      </c>
      <c r="F17">
        <v>1</v>
      </c>
    </row>
    <row r="24" spans="1:23" x14ac:dyDescent="0.55000000000000004">
      <c r="S24" s="21"/>
      <c r="T24" s="21"/>
      <c r="U24" s="21"/>
      <c r="V24" s="21"/>
      <c r="W24" s="21"/>
    </row>
    <row r="25" spans="1:23" x14ac:dyDescent="0.55000000000000004">
      <c r="P25" s="21"/>
      <c r="Q25" s="21"/>
      <c r="S25" s="21"/>
      <c r="T25" s="21"/>
      <c r="U25" s="21"/>
      <c r="V25" s="21"/>
      <c r="W25" s="21"/>
    </row>
    <row r="26" spans="1:23" x14ac:dyDescent="0.55000000000000004">
      <c r="P26" s="21"/>
      <c r="Q26" s="21"/>
      <c r="S26" s="21"/>
      <c r="T26" s="21"/>
      <c r="U26" s="21"/>
      <c r="V26" s="21"/>
      <c r="W26" s="21"/>
    </row>
    <row r="27" spans="1:23" x14ac:dyDescent="0.55000000000000004">
      <c r="P27" s="21"/>
      <c r="Q27" s="21"/>
      <c r="S27" s="21"/>
      <c r="T27" s="21"/>
      <c r="U27" s="21"/>
      <c r="V27" s="21"/>
      <c r="W27" s="21"/>
    </row>
    <row r="28" spans="1:23" x14ac:dyDescent="0.55000000000000004">
      <c r="P28" s="21"/>
      <c r="Q28" s="21"/>
      <c r="S28" s="21"/>
      <c r="T28" s="21"/>
      <c r="U28" s="21"/>
      <c r="V28" s="21"/>
      <c r="W28" s="21"/>
    </row>
    <row r="29" spans="1:23" x14ac:dyDescent="0.55000000000000004">
      <c r="P29" s="21"/>
      <c r="Q29" s="21"/>
      <c r="S29" s="21"/>
      <c r="T29" s="21"/>
      <c r="U29" s="21"/>
      <c r="V29" s="21"/>
      <c r="W29" s="21"/>
    </row>
    <row r="30" spans="1:23" x14ac:dyDescent="0.55000000000000004">
      <c r="S30" s="21"/>
      <c r="T30" s="21"/>
      <c r="U30" s="21"/>
      <c r="V30" s="21"/>
      <c r="W30" s="21"/>
    </row>
    <row r="31" spans="1:23" x14ac:dyDescent="0.55000000000000004">
      <c r="S31" s="21"/>
      <c r="T31" s="21"/>
      <c r="U31" s="21"/>
      <c r="V31" s="21"/>
      <c r="W31" s="21"/>
    </row>
    <row r="32" spans="1:23" x14ac:dyDescent="0.55000000000000004">
      <c r="S32" s="21"/>
      <c r="T32" s="21"/>
      <c r="U32" s="21"/>
      <c r="V32" s="21"/>
      <c r="W32" s="21"/>
    </row>
  </sheetData>
  <mergeCells count="5">
    <mergeCell ref="A1:I1"/>
    <mergeCell ref="H2:M2"/>
    <mergeCell ref="H15:M15"/>
    <mergeCell ref="A15:F15"/>
    <mergeCell ref="A2:F2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0854-11F6-4A92-8AC9-8BDCF67869F6}">
  <dimension ref="A1:I20"/>
  <sheetViews>
    <sheetView workbookViewId="0">
      <selection activeCell="L14" sqref="L14"/>
    </sheetView>
  </sheetViews>
  <sheetFormatPr defaultRowHeight="14.4" x14ac:dyDescent="0.55000000000000004"/>
  <cols>
    <col min="1" max="1" width="25.05078125" bestFit="1" customWidth="1"/>
    <col min="4" max="4" width="13.41796875" customWidth="1"/>
    <col min="6" max="6" width="20.83984375" bestFit="1" customWidth="1"/>
    <col min="9" max="9" width="14.3671875" customWidth="1"/>
  </cols>
  <sheetData>
    <row r="1" spans="1:9" ht="25.8" x14ac:dyDescent="0.95">
      <c r="A1" s="65" t="s">
        <v>113</v>
      </c>
      <c r="B1" s="65"/>
      <c r="C1" s="65"/>
      <c r="D1" s="65"/>
      <c r="E1" s="65"/>
      <c r="F1" s="65"/>
      <c r="G1" s="65"/>
      <c r="H1" s="65"/>
      <c r="I1" s="65"/>
    </row>
    <row r="2" spans="1:9" x14ac:dyDescent="0.55000000000000004">
      <c r="A2" s="63" t="s">
        <v>3</v>
      </c>
      <c r="B2" s="63"/>
      <c r="C2" s="63"/>
      <c r="D2" s="63"/>
      <c r="F2" s="63" t="s">
        <v>36</v>
      </c>
      <c r="G2" s="63"/>
      <c r="H2" s="63"/>
      <c r="I2" s="63"/>
    </row>
    <row r="3" spans="1:9" ht="14.7" thickBot="1" x14ac:dyDescent="0.6">
      <c r="A3" s="9" t="s">
        <v>1</v>
      </c>
      <c r="B3" s="10" t="s">
        <v>2</v>
      </c>
      <c r="C3" s="10" t="s">
        <v>34</v>
      </c>
      <c r="D3" s="11" t="s">
        <v>30</v>
      </c>
      <c r="F3" s="9" t="s">
        <v>1</v>
      </c>
      <c r="G3" s="10" t="s">
        <v>2</v>
      </c>
      <c r="H3" s="10" t="s">
        <v>34</v>
      </c>
      <c r="I3" s="11" t="s">
        <v>31</v>
      </c>
    </row>
    <row r="4" spans="1:9" ht="14.7" thickTop="1" x14ac:dyDescent="0.55000000000000004">
      <c r="A4" t="s">
        <v>14</v>
      </c>
      <c r="B4" s="21">
        <v>1.0509606481481483E-2</v>
      </c>
      <c r="C4" s="21">
        <f>B4/4</f>
        <v>2.6274016203703707E-3</v>
      </c>
      <c r="D4">
        <f>RANK(B4,$B$4:$B$14,1)</f>
        <v>1</v>
      </c>
      <c r="F4" t="s">
        <v>54</v>
      </c>
      <c r="G4" s="21">
        <v>1.2260879629629629E-2</v>
      </c>
      <c r="H4" s="21">
        <f t="shared" ref="H4:H7" si="0">G4/4</f>
        <v>3.0652199074074071E-3</v>
      </c>
      <c r="I4">
        <f>RANK(G4,$G$4:$G$7,1)</f>
        <v>1</v>
      </c>
    </row>
    <row r="5" spans="1:9" x14ac:dyDescent="0.55000000000000004">
      <c r="A5" t="s">
        <v>12</v>
      </c>
      <c r="B5" s="21">
        <v>1.0752245370370369E-2</v>
      </c>
      <c r="C5" s="21">
        <f t="shared" ref="C5:C14" si="1">B5/4</f>
        <v>2.6880613425925922E-3</v>
      </c>
      <c r="D5">
        <f t="shared" ref="D5:D14" si="2">RANK(B5,$B$4:$B$14,1)</f>
        <v>2</v>
      </c>
      <c r="F5" t="s">
        <v>17</v>
      </c>
      <c r="G5" s="21">
        <v>1.2501828703703704E-2</v>
      </c>
      <c r="H5" s="21">
        <f t="shared" si="0"/>
        <v>3.1254571759259261E-3</v>
      </c>
      <c r="I5">
        <f t="shared" ref="I5:I7" si="3">RANK(G5,$G$4:$G$7,1)</f>
        <v>2</v>
      </c>
    </row>
    <row r="6" spans="1:9" x14ac:dyDescent="0.55000000000000004">
      <c r="A6" t="s">
        <v>9</v>
      </c>
      <c r="B6" s="21">
        <v>1.0845219907407408E-2</v>
      </c>
      <c r="C6" s="21">
        <f t="shared" si="1"/>
        <v>2.7113049768518519E-3</v>
      </c>
      <c r="D6">
        <f t="shared" si="2"/>
        <v>3</v>
      </c>
      <c r="F6" t="s">
        <v>24</v>
      </c>
      <c r="G6" s="21">
        <v>1.4822731481481484E-2</v>
      </c>
      <c r="H6" s="21">
        <f t="shared" si="0"/>
        <v>3.7056828703703709E-3</v>
      </c>
      <c r="I6">
        <f t="shared" si="3"/>
        <v>3</v>
      </c>
    </row>
    <row r="7" spans="1:9" x14ac:dyDescent="0.55000000000000004">
      <c r="A7" t="s">
        <v>23</v>
      </c>
      <c r="B7" s="21">
        <v>1.1904247685185186E-2</v>
      </c>
      <c r="C7" s="21">
        <f t="shared" si="1"/>
        <v>2.9760619212962965E-3</v>
      </c>
      <c r="D7">
        <f t="shared" si="2"/>
        <v>4</v>
      </c>
      <c r="F7" t="s">
        <v>60</v>
      </c>
      <c r="G7" s="21">
        <v>1.671898148148148E-2</v>
      </c>
      <c r="H7" s="21">
        <f t="shared" si="0"/>
        <v>4.1797453703703701E-3</v>
      </c>
      <c r="I7">
        <f t="shared" si="3"/>
        <v>4</v>
      </c>
    </row>
    <row r="8" spans="1:9" x14ac:dyDescent="0.55000000000000004">
      <c r="A8" t="s">
        <v>56</v>
      </c>
      <c r="B8" s="21">
        <v>1.2003391203703704E-2</v>
      </c>
      <c r="C8" s="21">
        <f t="shared" si="1"/>
        <v>3.0008478009259259E-3</v>
      </c>
      <c r="D8">
        <f t="shared" si="2"/>
        <v>5</v>
      </c>
    </row>
    <row r="9" spans="1:9" x14ac:dyDescent="0.55000000000000004">
      <c r="A9" t="s">
        <v>54</v>
      </c>
      <c r="B9" s="21">
        <v>1.2260879629629629E-2</v>
      </c>
      <c r="C9" s="21">
        <f t="shared" si="1"/>
        <v>3.0652199074074071E-3</v>
      </c>
      <c r="D9">
        <f t="shared" si="2"/>
        <v>6</v>
      </c>
    </row>
    <row r="10" spans="1:9" x14ac:dyDescent="0.55000000000000004">
      <c r="A10" t="s">
        <v>17</v>
      </c>
      <c r="B10" s="21">
        <v>1.2501828703703704E-2</v>
      </c>
      <c r="C10" s="21">
        <f t="shared" si="1"/>
        <v>3.1254571759259261E-3</v>
      </c>
      <c r="D10">
        <f t="shared" si="2"/>
        <v>7</v>
      </c>
    </row>
    <row r="11" spans="1:9" x14ac:dyDescent="0.55000000000000004">
      <c r="A11" t="s">
        <v>58</v>
      </c>
      <c r="B11" s="21">
        <v>1.3379895833333334E-2</v>
      </c>
      <c r="C11" s="21">
        <f t="shared" si="1"/>
        <v>3.3449739583333335E-3</v>
      </c>
      <c r="D11">
        <f t="shared" si="2"/>
        <v>8</v>
      </c>
    </row>
    <row r="12" spans="1:9" x14ac:dyDescent="0.55000000000000004">
      <c r="A12" t="s">
        <v>19</v>
      </c>
      <c r="B12" s="21">
        <v>1.4130185185185185E-2</v>
      </c>
      <c r="C12" s="21">
        <f t="shared" si="1"/>
        <v>3.5325462962962962E-3</v>
      </c>
      <c r="D12">
        <f t="shared" si="2"/>
        <v>9</v>
      </c>
    </row>
    <row r="13" spans="1:9" x14ac:dyDescent="0.55000000000000004">
      <c r="A13" t="s">
        <v>24</v>
      </c>
      <c r="B13" s="21">
        <v>1.4822731481481484E-2</v>
      </c>
      <c r="C13" s="21">
        <f t="shared" si="1"/>
        <v>3.7056828703703709E-3</v>
      </c>
      <c r="D13">
        <f t="shared" si="2"/>
        <v>10</v>
      </c>
    </row>
    <row r="14" spans="1:9" x14ac:dyDescent="0.55000000000000004">
      <c r="A14" t="s">
        <v>60</v>
      </c>
      <c r="B14" s="21">
        <v>1.671898148148148E-2</v>
      </c>
      <c r="C14" s="21">
        <f t="shared" si="1"/>
        <v>4.1797453703703701E-3</v>
      </c>
      <c r="D14">
        <f t="shared" si="2"/>
        <v>11</v>
      </c>
    </row>
    <row r="15" spans="1:9" x14ac:dyDescent="0.55000000000000004">
      <c r="A15" t="s">
        <v>18</v>
      </c>
      <c r="B15" s="21">
        <v>6.4952546296296295E-3</v>
      </c>
      <c r="C15" t="s">
        <v>73</v>
      </c>
      <c r="D15">
        <v>12</v>
      </c>
    </row>
    <row r="16" spans="1:9" x14ac:dyDescent="0.55000000000000004">
      <c r="A16" t="s">
        <v>114</v>
      </c>
      <c r="B16" s="21">
        <v>7.8320254629629642E-3</v>
      </c>
      <c r="C16" t="s">
        <v>73</v>
      </c>
      <c r="D16">
        <v>12</v>
      </c>
    </row>
    <row r="18" spans="1:9" x14ac:dyDescent="0.55000000000000004">
      <c r="A18" s="63" t="s">
        <v>4</v>
      </c>
      <c r="B18" s="63"/>
      <c r="C18" s="63"/>
      <c r="D18" s="63"/>
      <c r="F18" s="63" t="s">
        <v>35</v>
      </c>
      <c r="G18" s="63"/>
      <c r="H18" s="63"/>
      <c r="I18" s="63"/>
    </row>
    <row r="19" spans="1:9" x14ac:dyDescent="0.55000000000000004">
      <c r="A19" t="s">
        <v>1</v>
      </c>
      <c r="B19" t="s">
        <v>2</v>
      </c>
      <c r="C19" t="s">
        <v>34</v>
      </c>
      <c r="D19" t="s">
        <v>30</v>
      </c>
      <c r="F19" t="s">
        <v>1</v>
      </c>
      <c r="G19" t="s">
        <v>2</v>
      </c>
      <c r="H19" t="s">
        <v>34</v>
      </c>
      <c r="I19" t="s">
        <v>31</v>
      </c>
    </row>
    <row r="20" spans="1:9" x14ac:dyDescent="0.55000000000000004">
      <c r="A20" t="s">
        <v>115</v>
      </c>
      <c r="B20" s="48">
        <v>1.3936817129629629E-2</v>
      </c>
      <c r="C20" s="48">
        <f>B20/4</f>
        <v>3.4842042824074072E-3</v>
      </c>
      <c r="D20">
        <v>1</v>
      </c>
      <c r="F20" t="s">
        <v>115</v>
      </c>
      <c r="G20" s="48">
        <v>1.3936817129629629E-2</v>
      </c>
      <c r="H20" s="48">
        <f>G20/4</f>
        <v>3.4842042824074072E-3</v>
      </c>
      <c r="I20">
        <v>1</v>
      </c>
    </row>
  </sheetData>
  <mergeCells count="5">
    <mergeCell ref="A1:I1"/>
    <mergeCell ref="A2:D2"/>
    <mergeCell ref="F2:I2"/>
    <mergeCell ref="A18:D18"/>
    <mergeCell ref="F18:I18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Samlet stilling</vt:lpstr>
      <vt:lpstr>1 - 500m svømning</vt:lpstr>
      <vt:lpstr>2 - 5km løb</vt:lpstr>
      <vt:lpstr>3 - Duathlon</vt:lpstr>
      <vt:lpstr>4 - Open water</vt:lpstr>
      <vt:lpstr>5 - Triathlon</vt:lpstr>
      <vt:lpstr>6 - Time trial</vt:lpstr>
      <vt:lpstr>7 - Aquathlon</vt:lpstr>
      <vt:lpstr>8 - Trailløb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Wæhrens</dc:creator>
  <cp:lastModifiedBy>Max Væhrens</cp:lastModifiedBy>
  <dcterms:created xsi:type="dcterms:W3CDTF">2023-04-06T09:09:26Z</dcterms:created>
  <dcterms:modified xsi:type="dcterms:W3CDTF">2023-09-23T13:03:26Z</dcterms:modified>
</cp:coreProperties>
</file>